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0" windowWidth="9720" windowHeight="4560" activeTab="1"/>
  </bookViews>
  <sheets>
    <sheet name="Титульный лист" sheetId="1" r:id="rId1"/>
    <sheet name="июнь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'июнь'!$A:$A,'июнь'!$4:$6</definedName>
    <definedName name="_xlnm.Print_Area" localSheetId="1">'июнь'!$A$1:$AF$84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Q19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Феникс корректировали расход с казначейством на 0,22 руб. в июне 2016</t>
        </r>
      </text>
    </comment>
    <comment ref="D38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Сумма 26 тыс.поступила в конце июня отдел Рябининой не успел довести до Феникса </t>
        </r>
      </text>
    </comment>
  </commentList>
</comments>
</file>

<file path=xl/sharedStrings.xml><?xml version="1.0" encoding="utf-8"?>
<sst xmlns="http://schemas.openxmlformats.org/spreadsheetml/2006/main" count="554" uniqueCount="198">
  <si>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</si>
  <si>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</si>
  <si>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</si>
  <si>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</si>
  <si>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</si>
  <si>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</si>
  <si>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</si>
  <si>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</si>
  <si>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</si>
  <si>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</si>
  <si>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</si>
  <si>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</si>
  <si>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</si>
  <si>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</si>
  <si>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</si>
  <si>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</si>
  <si>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</si>
  <si>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</si>
  <si>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</si>
  <si>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</si>
  <si>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</si>
  <si>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</si>
  <si>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</si>
  <si>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</si>
  <si>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</si>
  <si>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</si>
  <si>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</si>
  <si>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</si>
  <si>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</si>
  <si>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</si>
  <si>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</si>
  <si>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</si>
  <si>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</si>
  <si>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</si>
  <si>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</si>
  <si>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</si>
  <si>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</si>
  <si>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</si>
  <si>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</si>
  <si>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</si>
  <si>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</si>
  <si>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</si>
  <si>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</si>
  <si>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</si>
  <si>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</si>
  <si>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</si>
  <si>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</si>
  <si>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</si>
  <si>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</si>
  <si>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</si>
  <si>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</si>
  <si>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</si>
  <si>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</si>
  <si>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</si>
  <si>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</si>
  <si>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</si>
  <si>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</si>
  <si>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</si>
  <si>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</si>
  <si>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</si>
  <si>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</si>
  <si>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</si>
  <si>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</si>
  <si>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</si>
  <si>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</si>
  <si>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</si>
  <si>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</si>
  <si>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</si>
  <si>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</si>
  <si>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</si>
  <si>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</si>
  <si>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</si>
  <si>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</si>
  <si>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</si>
  <si>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</si>
  <si>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</si>
  <si>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</si>
  <si>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</si>
  <si>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</si>
  <si>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</si>
  <si>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</si>
  <si>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</si>
  <si>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</si>
  <si>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</si>
  <si>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</si>
  <si>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</si>
  <si>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</si>
  <si>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</si>
  <si>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</si>
  <si>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</si>
  <si>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</si>
  <si>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</si>
  <si>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</si>
  <si>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</si>
  <si>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</si>
  <si>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</si>
  <si>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</si>
  <si>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</si>
  <si>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</si>
  <si>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</si>
  <si>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</si>
  <si>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</si>
  <si>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</si>
  <si>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</si>
  <si>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</si>
  <si>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</si>
  <si>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</si>
  <si>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</si>
  <si>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</si>
  <si>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</si>
  <si>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</si>
  <si>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</si>
  <si>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</si>
  <si>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</si>
  <si>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</si>
  <si>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</si>
  <si>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</si>
  <si>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</si>
  <si>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</si>
  <si>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</si>
  <si>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</si>
  <si>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</si>
  <si>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</si>
  <si>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</si>
  <si>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</si>
  <si>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</si>
  <si>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</si>
  <si>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</si>
  <si>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</si>
  <si>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</si>
  <si>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</si>
  <si>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</si>
  <si>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</si>
  <si>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</si>
  <si>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</si>
  <si>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</si>
  <si>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</si>
  <si>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</si>
  <si>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</si>
  <si>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</si>
  <si>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</si>
  <si>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</si>
  <si>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</si>
  <si>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</si>
  <si>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</si>
  <si>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</si>
  <si>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</si>
  <si>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</si>
  <si>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</si>
  <si>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</si>
  <si>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</si>
  <si>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</si>
  <si>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</si>
  <si>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</si>
  <si>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</si>
  <si>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</si>
  <si>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</si>
  <si>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</si>
  <si>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</si>
  <si>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</si>
  <si>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</si>
  <si>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</si>
  <si>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</si>
  <si>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</si>
  <si>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</si>
  <si>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</si>
  <si>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</si>
  <si>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</si>
  <si>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</si>
  <si>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</si>
  <si>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</si>
  <si>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</si>
  <si>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</si>
  <si>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</si>
  <si>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</si>
  <si>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</si>
  <si>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Мероприятие проводится один раз в два года (конкурс проводился в 2015г.).</t>
  </si>
  <si>
    <t xml:space="preserve">Проведение мероприятия запланировано на октябрь 2016 года. 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</si>
  <si>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</si>
  <si>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>По факту обращения несовершеннолетних граждан в МБУ "МКЦ"Феникс"оказано 639 консультаций.</t>
  </si>
  <si>
    <t>Заседание Межведомственной комиссии запланировано на август и декабрь 2016 года.</t>
  </si>
  <si>
    <t xml:space="preserve">По итогам проведенного электронного аукциона образовалась экономия в сумме  3,04 тыс.рублей в конце года средства будут возвращены в бюджет города.  </t>
  </si>
  <si>
    <t xml:space="preserve">по состоянию на 01.07.2016 </t>
  </si>
  <si>
    <t>Начальник управления экономики Администрации города Когалыма</t>
  </si>
  <si>
    <t>Е.Г.Загорская</t>
  </si>
  <si>
    <t>Исп. Мартынова С.В. тел. 93785</t>
  </si>
  <si>
    <t>План на 01.07.2016</t>
  </si>
  <si>
    <t>Профинансировано на 01.07.2016</t>
  </si>
  <si>
    <t>Кассовый расход на  01.07.2016</t>
  </si>
  <si>
    <t>Отчет о ходе реализации муниципальной программы "Содействие занятости населения города Когалыма"по состоянию на 01.07.2016 года</t>
  </si>
  <si>
    <t xml:space="preserve">Принято 583 заявления от несовершеннолетних граждан и их законных представителей для  формирования общей очереди для трудоустройства в летние трудовые бригады (подсобные рабочие). Заключено 201 срочных трудовых договоров с несовершеннолетними гражданами (подсобные рабочие). Средства в размере 2114,18 тыс.рублей выплачены на заработную плату несовершеннолетним гражданам. Не освоение средств сумме 62,66 тыс.руб. возникло по факту отработанного времени несовершеннолетними гражданами, средства будут освоены в июле месяце. </t>
  </si>
  <si>
    <t xml:space="preserve">В МБУ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40 срочных трудовых договоров с несовершеннолетними гражданами (операторы ЭВМ). Средства в размере 431,27 тыс.рублей выплачены на заработную плату несовершеннолетним гражданам. Не освоение средств сумме 4,1 тыс.руб. возникло по факту отработанного времени несовершеннолетними гражданами, средства будут освоены в сентябре месяце согласно сетевого графика. </t>
  </si>
  <si>
    <t xml:space="preserve">В МБУ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12 срочных трудовых договоров с несовершеннолетними безработными гражданами (операторы ЭВМ). Средства в размере 498,07 тыс.рублей выплачены на заработную плату несовершеннолетним безработным гражданам. Не освоение средств сумме 62,83 тыс.руб. возникло по факту отработанного времени несовершеннолетними гражданами, средства будут освоены в августе, сентябре месяце согласно сетевого графика. . </t>
  </si>
  <si>
    <t xml:space="preserve">Не освоение денежных средств в сумме 114,88 тыс. рублей  возникло по причинам: - 17,66 тыс.руб.  по итогам проведенного аукциона на приобретение  спец.одежды для несовершеннолетних граждан; - 97,22 тыс.руб. - по фактически предоставленными документам от несовершеннолетних граждан  за пройденный мед.осмотр, средства будут освоены в следующих  месяцах.  </t>
  </si>
  <si>
    <t>Принято 65 заявлений для трудоустройства внештатных сотрудников в летнее время. Трудоустроено 20 человек. Средства в размере 17,4 тыс.рублей выплачены на заработную плату внештатных работников. Освоение средств пройдет в июле 2016 года после подписания актов выполненных работ, согласно условий договоров.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</si>
  <si>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январе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153 человека (кухонный рабочий- 26 чел.; рабочий по благоустройству населенных пунктов - 74 чел.; машинистка - 39 чел.; социальный работник - 14 чел.) . Средства в размере 2641,51 тыс.рублей выплачены на заработную плату безработным гражданам. Не освоены денежные средства  в сумме 961,74 тыс.руб. в связи с карантином в школьных столовых и досрочным расторжением трудовых договоров по инициативе безработных грваждан . Освоение средств пройдет в июле 2016 года после подписания актов о целевом использовании средств между получателями субсидий и ЦЗН. </t>
  </si>
  <si>
    <t xml:space="preserve">На 01.07.2016 года не освоение денежных средств составляет 258,25 тыс.рублей в связи стем, что фактическая сумма выставленная поставщиками по услугам меньше планов (по услугам связи, расходов на содержание имущества). </t>
  </si>
  <si>
    <t xml:space="preserve">С апреля по июнь 2016 года осуществлятся прием заявок от участников конкурса. Заявлено к участию 4 предприятия.  Подведение итогов будет проходить заочно в августе месяце.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</si>
</sst>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  <numFmt numFmtId="196" formatCode="_(* #,##0.0000_);_(* \(#,##0.0000\);_(* &quot;-&quot;??_);_(@_)"/>
    <numFmt numFmtId="197" formatCode="_-* #,##0.0000\ _₽_-;\-* #,##0.0000\ _₽_-;_-* &quot;-&quot;????\ _₽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7" tint="-0.4999699890613556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174" fontId="77" fillId="0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173" fontId="78" fillId="0" borderId="0" xfId="0" applyNumberFormat="1" applyFont="1" applyFill="1" applyBorder="1" applyAlignment="1">
      <alignment vertical="center" wrapText="1"/>
    </xf>
    <xf numFmtId="188" fontId="78" fillId="0" borderId="0" xfId="0" applyNumberFormat="1" applyFont="1" applyFill="1" applyBorder="1" applyAlignment="1">
      <alignment vertical="center" wrapText="1"/>
    </xf>
    <xf numFmtId="173" fontId="78" fillId="31" borderId="0" xfId="0" applyNumberFormat="1" applyFont="1" applyFill="1" applyBorder="1" applyAlignment="1">
      <alignment vertical="center" wrapText="1"/>
    </xf>
    <xf numFmtId="188" fontId="78" fillId="31" borderId="0" xfId="0" applyNumberFormat="1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8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center" vertical="center" wrapText="1"/>
    </xf>
    <xf numFmtId="174" fontId="80" fillId="0" borderId="0" xfId="0" applyNumberFormat="1" applyFont="1" applyFill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188" fontId="81" fillId="0" borderId="0" xfId="0" applyNumberFormat="1" applyFont="1" applyFill="1" applyBorder="1" applyAlignment="1">
      <alignment vertical="center" wrapText="1"/>
    </xf>
    <xf numFmtId="173" fontId="80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81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81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171" fontId="81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82" fillId="0" borderId="0" xfId="0" applyFont="1" applyFill="1" applyAlignment="1">
      <alignment vertical="center" wrapText="1"/>
    </xf>
    <xf numFmtId="173" fontId="83" fillId="0" borderId="0" xfId="0" applyNumberFormat="1" applyFont="1" applyFill="1" applyAlignment="1">
      <alignment vertical="center" wrapText="1"/>
    </xf>
    <xf numFmtId="43" fontId="3" fillId="0" borderId="11" xfId="0" applyNumberFormat="1" applyFont="1" applyFill="1" applyBorder="1" applyAlignment="1">
      <alignment vertical="center" wrapText="1"/>
    </xf>
    <xf numFmtId="0" fontId="82" fillId="0" borderId="11" xfId="0" applyFont="1" applyFill="1" applyBorder="1" applyAlignment="1">
      <alignment vertical="center" wrapText="1"/>
    </xf>
    <xf numFmtId="9" fontId="6" fillId="34" borderId="10" xfId="57" applyNumberFormat="1" applyFont="1" applyFill="1" applyBorder="1" applyAlignment="1" applyProtection="1">
      <alignment horizontal="right" vertical="center" wrapText="1"/>
      <protection/>
    </xf>
    <xf numFmtId="182" fontId="6" fillId="34" borderId="10" xfId="60" applyNumberFormat="1" applyFont="1" applyFill="1" applyBorder="1" applyAlignment="1" applyProtection="1">
      <alignment horizontal="right" vertical="center" wrapText="1"/>
      <protection/>
    </xf>
    <xf numFmtId="196" fontId="6" fillId="34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9">
      <selection activeCell="A1" sqref="A1:I47"/>
    </sheetView>
  </sheetViews>
  <sheetFormatPr defaultColWidth="9.140625" defaultRowHeight="12.75"/>
  <cols>
    <col min="1" max="16384" width="9.140625" style="25" customWidth="1"/>
  </cols>
  <sheetData>
    <row r="1" spans="1:2" ht="18.75">
      <c r="A1" s="187"/>
      <c r="B1" s="187"/>
    </row>
    <row r="10" spans="1:9" ht="23.25">
      <c r="A10" s="188" t="s">
        <v>34</v>
      </c>
      <c r="B10" s="188"/>
      <c r="C10" s="188"/>
      <c r="D10" s="188"/>
      <c r="E10" s="188"/>
      <c r="F10" s="188"/>
      <c r="G10" s="188"/>
      <c r="H10" s="188"/>
      <c r="I10" s="188"/>
    </row>
    <row r="11" spans="1:9" ht="23.25">
      <c r="A11" s="188" t="s">
        <v>28</v>
      </c>
      <c r="B11" s="188"/>
      <c r="C11" s="188"/>
      <c r="D11" s="188"/>
      <c r="E11" s="188"/>
      <c r="F11" s="188"/>
      <c r="G11" s="188"/>
      <c r="H11" s="188"/>
      <c r="I11" s="188"/>
    </row>
    <row r="13" spans="1:9" ht="27" customHeight="1">
      <c r="A13" s="189" t="s">
        <v>29</v>
      </c>
      <c r="B13" s="189"/>
      <c r="C13" s="189"/>
      <c r="D13" s="189"/>
      <c r="E13" s="189"/>
      <c r="F13" s="189"/>
      <c r="G13" s="189"/>
      <c r="H13" s="189"/>
      <c r="I13" s="189"/>
    </row>
    <row r="14" spans="1:9" ht="27" customHeight="1">
      <c r="A14" s="189" t="s">
        <v>30</v>
      </c>
      <c r="B14" s="189"/>
      <c r="C14" s="189"/>
      <c r="D14" s="189"/>
      <c r="E14" s="189"/>
      <c r="F14" s="189"/>
      <c r="G14" s="189"/>
      <c r="H14" s="189"/>
      <c r="I14" s="189"/>
    </row>
    <row r="15" spans="1:9" ht="51.75" customHeight="1">
      <c r="A15" s="190" t="s">
        <v>153</v>
      </c>
      <c r="B15" s="190"/>
      <c r="C15" s="190"/>
      <c r="D15" s="190"/>
      <c r="E15" s="190"/>
      <c r="F15" s="190"/>
      <c r="G15" s="190"/>
      <c r="H15" s="190"/>
      <c r="I15" s="190"/>
    </row>
    <row r="17" spans="1:9" ht="19.5">
      <c r="A17" s="189" t="s">
        <v>152</v>
      </c>
      <c r="B17" s="189"/>
      <c r="C17" s="189"/>
      <c r="D17" s="189"/>
      <c r="E17" s="189"/>
      <c r="F17" s="189"/>
      <c r="G17" s="189"/>
      <c r="H17" s="189"/>
      <c r="I17" s="189"/>
    </row>
    <row r="19" spans="1:9" ht="12.75">
      <c r="A19" s="185" t="s">
        <v>182</v>
      </c>
      <c r="B19" s="185"/>
      <c r="C19" s="185"/>
      <c r="D19" s="185"/>
      <c r="E19" s="185"/>
      <c r="F19" s="185"/>
      <c r="G19" s="185"/>
      <c r="H19" s="185"/>
      <c r="I19" s="185"/>
    </row>
    <row r="46" spans="1:9" ht="16.5">
      <c r="A46" s="186" t="s">
        <v>31</v>
      </c>
      <c r="B46" s="186"/>
      <c r="C46" s="186"/>
      <c r="D46" s="186"/>
      <c r="E46" s="186"/>
      <c r="F46" s="186"/>
      <c r="G46" s="186"/>
      <c r="H46" s="186"/>
      <c r="I46" s="186"/>
    </row>
    <row r="47" spans="1:9" ht="16.5">
      <c r="A47" s="186" t="s">
        <v>50</v>
      </c>
      <c r="B47" s="186"/>
      <c r="C47" s="186"/>
      <c r="D47" s="186"/>
      <c r="E47" s="186"/>
      <c r="F47" s="186"/>
      <c r="G47" s="186"/>
      <c r="H47" s="186"/>
      <c r="I47" s="186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1"/>
  <sheetViews>
    <sheetView showGridLines="0" tabSelected="1" view="pageBreakPreview" zoomScale="85" zoomScaleNormal="70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6" sqref="N16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51" customHeight="1">
      <c r="A2" s="191" t="s">
        <v>189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 ht="6.75" customHeight="1">
      <c r="A3" s="23"/>
      <c r="O3" s="199"/>
      <c r="P3" s="199"/>
      <c r="Q3" s="199"/>
      <c r="R3" s="199"/>
      <c r="S3" s="199"/>
      <c r="AF3" s="8"/>
    </row>
    <row r="4" spans="1:34" s="11" customFormat="1" ht="18.75" customHeight="1">
      <c r="A4" s="198" t="s">
        <v>170</v>
      </c>
      <c r="B4" s="200" t="s">
        <v>154</v>
      </c>
      <c r="C4" s="200" t="s">
        <v>186</v>
      </c>
      <c r="D4" s="200" t="s">
        <v>187</v>
      </c>
      <c r="E4" s="200" t="s">
        <v>188</v>
      </c>
      <c r="F4" s="197" t="s">
        <v>15</v>
      </c>
      <c r="G4" s="197"/>
      <c r="H4" s="197" t="s">
        <v>0</v>
      </c>
      <c r="I4" s="197"/>
      <c r="J4" s="197" t="s">
        <v>1</v>
      </c>
      <c r="K4" s="197"/>
      <c r="L4" s="197" t="s">
        <v>2</v>
      </c>
      <c r="M4" s="197"/>
      <c r="N4" s="197" t="s">
        <v>3</v>
      </c>
      <c r="O4" s="197"/>
      <c r="P4" s="197" t="s">
        <v>4</v>
      </c>
      <c r="Q4" s="197"/>
      <c r="R4" s="197" t="s">
        <v>6</v>
      </c>
      <c r="S4" s="197"/>
      <c r="T4" s="103" t="s">
        <v>7</v>
      </c>
      <c r="U4" s="103" t="s">
        <v>7</v>
      </c>
      <c r="V4" s="197" t="s">
        <v>8</v>
      </c>
      <c r="W4" s="197"/>
      <c r="X4" s="197" t="s">
        <v>9</v>
      </c>
      <c r="Y4" s="197"/>
      <c r="Z4" s="197" t="s">
        <v>10</v>
      </c>
      <c r="AA4" s="197"/>
      <c r="AB4" s="197" t="s">
        <v>11</v>
      </c>
      <c r="AC4" s="197"/>
      <c r="AD4" s="197" t="s">
        <v>12</v>
      </c>
      <c r="AE4" s="197"/>
      <c r="AF4" s="198" t="s">
        <v>21</v>
      </c>
      <c r="AH4" s="95"/>
    </row>
    <row r="5" spans="1:34" s="13" customFormat="1" ht="72.75" customHeight="1">
      <c r="A5" s="198"/>
      <c r="B5" s="201"/>
      <c r="C5" s="201"/>
      <c r="D5" s="202"/>
      <c r="E5" s="201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98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8" t="s">
        <v>115</v>
      </c>
      <c r="B7" s="161">
        <f>B8</f>
        <v>18743</v>
      </c>
      <c r="C7" s="161">
        <f>C8</f>
        <v>7884.282229999999</v>
      </c>
      <c r="D7" s="161">
        <f>D8</f>
        <v>12718.227749999998</v>
      </c>
      <c r="E7" s="161">
        <f>E8</f>
        <v>6227.998130000001</v>
      </c>
      <c r="F7" s="175">
        <f>E7/B7</f>
        <v>0.3322839529424319</v>
      </c>
      <c r="G7" s="175">
        <f>E7/C7</f>
        <v>0.7899258230891617</v>
      </c>
      <c r="H7" s="161">
        <f aca="true" t="shared" si="0" ref="H7:AE7">H8</f>
        <v>0</v>
      </c>
      <c r="I7" s="161">
        <f t="shared" si="0"/>
        <v>0</v>
      </c>
      <c r="J7" s="161">
        <f t="shared" si="0"/>
        <v>527.2992</v>
      </c>
      <c r="K7" s="161">
        <f t="shared" si="0"/>
        <v>265.17561</v>
      </c>
      <c r="L7" s="161">
        <f t="shared" si="0"/>
        <v>1039.493</v>
      </c>
      <c r="M7" s="161">
        <f t="shared" si="0"/>
        <v>919.9599999999999</v>
      </c>
      <c r="N7" s="161">
        <f t="shared" si="0"/>
        <v>1310.0040000000001</v>
      </c>
      <c r="O7" s="161">
        <f t="shared" si="0"/>
        <v>1118.26</v>
      </c>
      <c r="P7" s="161">
        <f t="shared" si="0"/>
        <v>1289.794</v>
      </c>
      <c r="Q7" s="161">
        <f t="shared" si="0"/>
        <v>977.07</v>
      </c>
      <c r="R7" s="161">
        <f t="shared" si="0"/>
        <v>3717.6920299999997</v>
      </c>
      <c r="S7" s="161">
        <f t="shared" si="0"/>
        <v>2947.5325200000007</v>
      </c>
      <c r="T7" s="161">
        <f t="shared" si="0"/>
        <v>3441.27</v>
      </c>
      <c r="U7" s="161">
        <f t="shared" si="0"/>
        <v>0</v>
      </c>
      <c r="V7" s="161">
        <f t="shared" si="0"/>
        <v>3481.66</v>
      </c>
      <c r="W7" s="161">
        <f t="shared" si="0"/>
        <v>0</v>
      </c>
      <c r="X7" s="161">
        <f t="shared" si="0"/>
        <v>951.892</v>
      </c>
      <c r="Y7" s="161">
        <f t="shared" si="0"/>
        <v>0</v>
      </c>
      <c r="Z7" s="161">
        <f t="shared" si="0"/>
        <v>1049.252</v>
      </c>
      <c r="AA7" s="161">
        <f t="shared" si="0"/>
        <v>0</v>
      </c>
      <c r="AB7" s="161">
        <f t="shared" si="0"/>
        <v>1113.58997</v>
      </c>
      <c r="AC7" s="161">
        <f t="shared" si="0"/>
        <v>0</v>
      </c>
      <c r="AD7" s="161">
        <f t="shared" si="0"/>
        <v>821.0538</v>
      </c>
      <c r="AE7" s="161">
        <f t="shared" si="0"/>
        <v>0</v>
      </c>
      <c r="AF7" s="169"/>
      <c r="AH7" s="97"/>
    </row>
    <row r="8" spans="1:34" s="151" customFormat="1" ht="77.25" customHeight="1">
      <c r="A8" s="162" t="s">
        <v>155</v>
      </c>
      <c r="B8" s="149">
        <f>B9</f>
        <v>18743</v>
      </c>
      <c r="C8" s="149">
        <f aca="true" t="shared" si="1" ref="C8:AE8">C9</f>
        <v>7884.282229999999</v>
      </c>
      <c r="D8" s="149">
        <f t="shared" si="1"/>
        <v>12718.227749999998</v>
      </c>
      <c r="E8" s="149">
        <f t="shared" si="1"/>
        <v>6227.998130000001</v>
      </c>
      <c r="F8" s="176">
        <f>E8/B8</f>
        <v>0.3322839529424319</v>
      </c>
      <c r="G8" s="176">
        <f>E8/C8</f>
        <v>0.7899258230891617</v>
      </c>
      <c r="H8" s="149">
        <f t="shared" si="1"/>
        <v>0</v>
      </c>
      <c r="I8" s="149">
        <f t="shared" si="1"/>
        <v>0</v>
      </c>
      <c r="J8" s="149">
        <f t="shared" si="1"/>
        <v>527.2992</v>
      </c>
      <c r="K8" s="149">
        <f t="shared" si="1"/>
        <v>265.17561</v>
      </c>
      <c r="L8" s="149">
        <f t="shared" si="1"/>
        <v>1039.493</v>
      </c>
      <c r="M8" s="149">
        <f t="shared" si="1"/>
        <v>919.9599999999999</v>
      </c>
      <c r="N8" s="149">
        <f t="shared" si="1"/>
        <v>1310.0040000000001</v>
      </c>
      <c r="O8" s="149">
        <f t="shared" si="1"/>
        <v>1118.26</v>
      </c>
      <c r="P8" s="149">
        <f t="shared" si="1"/>
        <v>1289.794</v>
      </c>
      <c r="Q8" s="149">
        <f t="shared" si="1"/>
        <v>977.07</v>
      </c>
      <c r="R8" s="149">
        <f t="shared" si="1"/>
        <v>3717.6920299999997</v>
      </c>
      <c r="S8" s="149">
        <f t="shared" si="1"/>
        <v>2947.5325200000007</v>
      </c>
      <c r="T8" s="149">
        <f t="shared" si="1"/>
        <v>3441.27</v>
      </c>
      <c r="U8" s="149">
        <f t="shared" si="1"/>
        <v>0</v>
      </c>
      <c r="V8" s="149">
        <f t="shared" si="1"/>
        <v>3481.66</v>
      </c>
      <c r="W8" s="149">
        <f t="shared" si="1"/>
        <v>0</v>
      </c>
      <c r="X8" s="149">
        <f t="shared" si="1"/>
        <v>951.892</v>
      </c>
      <c r="Y8" s="149">
        <f t="shared" si="1"/>
        <v>0</v>
      </c>
      <c r="Z8" s="149">
        <f t="shared" si="1"/>
        <v>1049.252</v>
      </c>
      <c r="AA8" s="149">
        <f t="shared" si="1"/>
        <v>0</v>
      </c>
      <c r="AB8" s="149">
        <f t="shared" si="1"/>
        <v>1113.58997</v>
      </c>
      <c r="AC8" s="149">
        <f t="shared" si="1"/>
        <v>0</v>
      </c>
      <c r="AD8" s="149">
        <f t="shared" si="1"/>
        <v>821.0538</v>
      </c>
      <c r="AE8" s="149">
        <f t="shared" si="1"/>
        <v>0</v>
      </c>
      <c r="AF8" s="154"/>
      <c r="AH8" s="152"/>
    </row>
    <row r="9" spans="1:34" s="18" customFormat="1" ht="24" customHeight="1">
      <c r="A9" s="153" t="s">
        <v>32</v>
      </c>
      <c r="B9" s="149">
        <f>B10+B11+B12</f>
        <v>18743</v>
      </c>
      <c r="C9" s="149">
        <f aca="true" t="shared" si="2" ref="C9:AE9">C10+C11+C12</f>
        <v>7884.282229999999</v>
      </c>
      <c r="D9" s="149">
        <f t="shared" si="2"/>
        <v>12718.227749999998</v>
      </c>
      <c r="E9" s="149">
        <f t="shared" si="2"/>
        <v>6227.998130000001</v>
      </c>
      <c r="F9" s="176">
        <f>E9/B9</f>
        <v>0.3322839529424319</v>
      </c>
      <c r="G9" s="176">
        <f>E9/C9</f>
        <v>0.7899258230891617</v>
      </c>
      <c r="H9" s="149">
        <f t="shared" si="2"/>
        <v>0</v>
      </c>
      <c r="I9" s="149">
        <f t="shared" si="2"/>
        <v>0</v>
      </c>
      <c r="J9" s="149">
        <f t="shared" si="2"/>
        <v>527.2992</v>
      </c>
      <c r="K9" s="149">
        <f t="shared" si="2"/>
        <v>265.17561</v>
      </c>
      <c r="L9" s="149">
        <f t="shared" si="2"/>
        <v>1039.493</v>
      </c>
      <c r="M9" s="149">
        <f t="shared" si="2"/>
        <v>919.9599999999999</v>
      </c>
      <c r="N9" s="149">
        <f t="shared" si="2"/>
        <v>1310.0040000000001</v>
      </c>
      <c r="O9" s="149">
        <f t="shared" si="2"/>
        <v>1118.26</v>
      </c>
      <c r="P9" s="149">
        <f t="shared" si="2"/>
        <v>1289.794</v>
      </c>
      <c r="Q9" s="149">
        <f t="shared" si="2"/>
        <v>977.07</v>
      </c>
      <c r="R9" s="149">
        <f t="shared" si="2"/>
        <v>3717.6920299999997</v>
      </c>
      <c r="S9" s="149">
        <f t="shared" si="2"/>
        <v>2947.5325200000007</v>
      </c>
      <c r="T9" s="149">
        <f t="shared" si="2"/>
        <v>3441.27</v>
      </c>
      <c r="U9" s="149">
        <f t="shared" si="2"/>
        <v>0</v>
      </c>
      <c r="V9" s="149">
        <f t="shared" si="2"/>
        <v>3481.66</v>
      </c>
      <c r="W9" s="149">
        <f t="shared" si="2"/>
        <v>0</v>
      </c>
      <c r="X9" s="149">
        <f t="shared" si="2"/>
        <v>951.892</v>
      </c>
      <c r="Y9" s="149">
        <f t="shared" si="2"/>
        <v>0</v>
      </c>
      <c r="Z9" s="149">
        <f t="shared" si="2"/>
        <v>1049.252</v>
      </c>
      <c r="AA9" s="149">
        <f t="shared" si="2"/>
        <v>0</v>
      </c>
      <c r="AB9" s="149">
        <f t="shared" si="2"/>
        <v>1113.58997</v>
      </c>
      <c r="AC9" s="149">
        <f t="shared" si="2"/>
        <v>0</v>
      </c>
      <c r="AD9" s="149">
        <f t="shared" si="2"/>
        <v>821.0538</v>
      </c>
      <c r="AE9" s="149">
        <f t="shared" si="2"/>
        <v>0</v>
      </c>
      <c r="AF9" s="154"/>
      <c r="AH9" s="97"/>
    </row>
    <row r="10" spans="1:34" s="18" customFormat="1" ht="24" customHeight="1">
      <c r="A10" s="153" t="s">
        <v>150</v>
      </c>
      <c r="B10" s="149">
        <f>B45</f>
        <v>0</v>
      </c>
      <c r="C10" s="149">
        <f aca="true" t="shared" si="3" ref="C10:AE10">C45</f>
        <v>0</v>
      </c>
      <c r="D10" s="149">
        <f t="shared" si="3"/>
        <v>0</v>
      </c>
      <c r="E10" s="149">
        <f t="shared" si="3"/>
        <v>0</v>
      </c>
      <c r="F10" s="176">
        <v>0</v>
      </c>
      <c r="G10" s="176">
        <v>0</v>
      </c>
      <c r="H10" s="149">
        <f t="shared" si="3"/>
        <v>0</v>
      </c>
      <c r="I10" s="149">
        <f t="shared" si="3"/>
        <v>0</v>
      </c>
      <c r="J10" s="149">
        <f t="shared" si="3"/>
        <v>0</v>
      </c>
      <c r="K10" s="149">
        <f t="shared" si="3"/>
        <v>0</v>
      </c>
      <c r="L10" s="149">
        <f t="shared" si="3"/>
        <v>0</v>
      </c>
      <c r="M10" s="149">
        <f t="shared" si="3"/>
        <v>0</v>
      </c>
      <c r="N10" s="149">
        <f t="shared" si="3"/>
        <v>0</v>
      </c>
      <c r="O10" s="149">
        <f t="shared" si="3"/>
        <v>0</v>
      </c>
      <c r="P10" s="149">
        <f t="shared" si="3"/>
        <v>0</v>
      </c>
      <c r="Q10" s="149">
        <f t="shared" si="3"/>
        <v>0</v>
      </c>
      <c r="R10" s="149">
        <f t="shared" si="3"/>
        <v>0</v>
      </c>
      <c r="S10" s="149">
        <f t="shared" si="3"/>
        <v>0</v>
      </c>
      <c r="T10" s="149">
        <f t="shared" si="3"/>
        <v>0</v>
      </c>
      <c r="U10" s="149">
        <f t="shared" si="3"/>
        <v>0</v>
      </c>
      <c r="V10" s="149">
        <f t="shared" si="3"/>
        <v>0</v>
      </c>
      <c r="W10" s="149">
        <f t="shared" si="3"/>
        <v>0</v>
      </c>
      <c r="X10" s="149">
        <f t="shared" si="3"/>
        <v>0</v>
      </c>
      <c r="Y10" s="149">
        <f t="shared" si="3"/>
        <v>0</v>
      </c>
      <c r="Z10" s="149">
        <f t="shared" si="3"/>
        <v>0</v>
      </c>
      <c r="AA10" s="149">
        <f t="shared" si="3"/>
        <v>0</v>
      </c>
      <c r="AB10" s="149">
        <f t="shared" si="3"/>
        <v>0</v>
      </c>
      <c r="AC10" s="149">
        <f t="shared" si="3"/>
        <v>0</v>
      </c>
      <c r="AD10" s="149">
        <f t="shared" si="3"/>
        <v>0</v>
      </c>
      <c r="AE10" s="149">
        <f t="shared" si="3"/>
        <v>0</v>
      </c>
      <c r="AF10" s="154"/>
      <c r="AH10" s="97"/>
    </row>
    <row r="11" spans="1:34" s="18" customFormat="1" ht="24" customHeight="1">
      <c r="A11" s="153" t="s">
        <v>24</v>
      </c>
      <c r="B11" s="149">
        <f>B15+B19+B23</f>
        <v>1574.4</v>
      </c>
      <c r="C11" s="149">
        <f aca="true" t="shared" si="4" ref="C11:AE11">C15+C19+C23</f>
        <v>765.1440299999999</v>
      </c>
      <c r="D11" s="149">
        <f t="shared" si="4"/>
        <v>678.03575</v>
      </c>
      <c r="E11" s="149">
        <f t="shared" si="4"/>
        <v>678.03106</v>
      </c>
      <c r="F11" s="176">
        <f>E11/B11</f>
        <v>0.4306599720528455</v>
      </c>
      <c r="G11" s="176">
        <f>E11/C11</f>
        <v>0.8861482719795907</v>
      </c>
      <c r="H11" s="149">
        <f t="shared" si="4"/>
        <v>0</v>
      </c>
      <c r="I11" s="149">
        <f t="shared" si="4"/>
        <v>0</v>
      </c>
      <c r="J11" s="149">
        <f t="shared" si="4"/>
        <v>109.47</v>
      </c>
      <c r="K11" s="149">
        <f t="shared" si="4"/>
        <v>51.28106</v>
      </c>
      <c r="L11" s="149">
        <f t="shared" si="4"/>
        <v>109.47</v>
      </c>
      <c r="M11" s="149">
        <f t="shared" si="4"/>
        <v>136.53</v>
      </c>
      <c r="N11" s="149">
        <f t="shared" si="4"/>
        <v>52.7</v>
      </c>
      <c r="O11" s="149">
        <f t="shared" si="4"/>
        <v>39.06</v>
      </c>
      <c r="P11" s="149">
        <f t="shared" si="4"/>
        <v>146.452</v>
      </c>
      <c r="Q11" s="149">
        <f t="shared" si="4"/>
        <v>77.65</v>
      </c>
      <c r="R11" s="149">
        <f t="shared" si="4"/>
        <v>347.05203</v>
      </c>
      <c r="S11" s="149">
        <f t="shared" si="4"/>
        <v>373.51</v>
      </c>
      <c r="T11" s="149">
        <f t="shared" si="4"/>
        <v>280</v>
      </c>
      <c r="U11" s="149">
        <f t="shared" si="4"/>
        <v>0</v>
      </c>
      <c r="V11" s="149">
        <f t="shared" si="4"/>
        <v>311.05</v>
      </c>
      <c r="W11" s="149">
        <f t="shared" si="4"/>
        <v>0</v>
      </c>
      <c r="X11" s="149">
        <f t="shared" si="4"/>
        <v>110.21</v>
      </c>
      <c r="Y11" s="149">
        <f t="shared" si="4"/>
        <v>0</v>
      </c>
      <c r="Z11" s="149">
        <f t="shared" si="4"/>
        <v>45.05</v>
      </c>
      <c r="AA11" s="149">
        <f t="shared" si="4"/>
        <v>0</v>
      </c>
      <c r="AB11" s="149">
        <f t="shared" si="4"/>
        <v>62.94597</v>
      </c>
      <c r="AC11" s="149">
        <f t="shared" si="4"/>
        <v>0</v>
      </c>
      <c r="AD11" s="149">
        <f t="shared" si="4"/>
        <v>0</v>
      </c>
      <c r="AE11" s="149">
        <f t="shared" si="4"/>
        <v>0</v>
      </c>
      <c r="AF11" s="154"/>
      <c r="AH11" s="97"/>
    </row>
    <row r="12" spans="1:34" s="18" customFormat="1" ht="24" customHeight="1">
      <c r="A12" s="153" t="s">
        <v>25</v>
      </c>
      <c r="B12" s="149">
        <f>B16+B20+B24+B27+B30+B33+B36+B42</f>
        <v>17168.6</v>
      </c>
      <c r="C12" s="149">
        <f aca="true" t="shared" si="5" ref="C12:AE12">C16+C20+C24+C27+C30+C33+C36+C42</f>
        <v>7119.138199999999</v>
      </c>
      <c r="D12" s="149">
        <f t="shared" si="5"/>
        <v>12040.192</v>
      </c>
      <c r="E12" s="149">
        <f t="shared" si="5"/>
        <v>5549.967070000001</v>
      </c>
      <c r="F12" s="176">
        <f>E12/B12</f>
        <v>0.32326264634274204</v>
      </c>
      <c r="G12" s="176">
        <f>E12/C12</f>
        <v>0.7795841173584748</v>
      </c>
      <c r="H12" s="149">
        <f t="shared" si="5"/>
        <v>0</v>
      </c>
      <c r="I12" s="149">
        <f t="shared" si="5"/>
        <v>0</v>
      </c>
      <c r="J12" s="149">
        <f t="shared" si="5"/>
        <v>417.8292</v>
      </c>
      <c r="K12" s="149">
        <f t="shared" si="5"/>
        <v>213.89455</v>
      </c>
      <c r="L12" s="149">
        <f t="shared" si="5"/>
        <v>930.023</v>
      </c>
      <c r="M12" s="149">
        <f t="shared" si="5"/>
        <v>783.43</v>
      </c>
      <c r="N12" s="149">
        <f t="shared" si="5"/>
        <v>1257.304</v>
      </c>
      <c r="O12" s="149">
        <f t="shared" si="5"/>
        <v>1079.2</v>
      </c>
      <c r="P12" s="149">
        <f t="shared" si="5"/>
        <v>1143.342</v>
      </c>
      <c r="Q12" s="149">
        <f t="shared" si="5"/>
        <v>899.4200000000001</v>
      </c>
      <c r="R12" s="149">
        <f t="shared" si="5"/>
        <v>3370.64</v>
      </c>
      <c r="S12" s="149">
        <f t="shared" si="5"/>
        <v>2574.0225200000004</v>
      </c>
      <c r="T12" s="149">
        <f t="shared" si="5"/>
        <v>3161.27</v>
      </c>
      <c r="U12" s="149">
        <f t="shared" si="5"/>
        <v>0</v>
      </c>
      <c r="V12" s="149">
        <f t="shared" si="5"/>
        <v>3170.6099999999997</v>
      </c>
      <c r="W12" s="149">
        <f t="shared" si="5"/>
        <v>0</v>
      </c>
      <c r="X12" s="149">
        <f t="shared" si="5"/>
        <v>841.682</v>
      </c>
      <c r="Y12" s="149">
        <f t="shared" si="5"/>
        <v>0</v>
      </c>
      <c r="Z12" s="149">
        <f t="shared" si="5"/>
        <v>1004.202</v>
      </c>
      <c r="AA12" s="149">
        <f t="shared" si="5"/>
        <v>0</v>
      </c>
      <c r="AB12" s="149">
        <f t="shared" si="5"/>
        <v>1050.644</v>
      </c>
      <c r="AC12" s="149">
        <f t="shared" si="5"/>
        <v>0</v>
      </c>
      <c r="AD12" s="149">
        <f t="shared" si="5"/>
        <v>821.0538</v>
      </c>
      <c r="AE12" s="149">
        <f t="shared" si="5"/>
        <v>0</v>
      </c>
      <c r="AF12" s="154"/>
      <c r="AH12" s="97"/>
    </row>
    <row r="13" spans="1:34" s="18" customFormat="1" ht="77.25" customHeight="1">
      <c r="A13" s="45" t="s">
        <v>171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93" t="s">
        <v>190</v>
      </c>
      <c r="AH13" s="97"/>
    </row>
    <row r="14" spans="1:34" s="18" customFormat="1" ht="18.75">
      <c r="A14" s="108" t="s">
        <v>32</v>
      </c>
      <c r="B14" s="116">
        <f>B15+B16</f>
        <v>6530.5</v>
      </c>
      <c r="C14" s="116">
        <f>C15+C16</f>
        <v>2176.84</v>
      </c>
      <c r="D14" s="116">
        <f>D15+D16</f>
        <v>2148.84</v>
      </c>
      <c r="E14" s="116">
        <f>E15+E16</f>
        <v>2114.1825200000003</v>
      </c>
      <c r="F14" s="123">
        <f>E14/B14</f>
        <v>0.32373976265217064</v>
      </c>
      <c r="G14" s="123">
        <f>E14/C14</f>
        <v>0.971216313555429</v>
      </c>
      <c r="H14" s="117">
        <f>H15+H16</f>
        <v>0</v>
      </c>
      <c r="I14" s="117">
        <f aca="true" t="shared" si="6" ref="I14:AE14">I15+I16</f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2176.84</v>
      </c>
      <c r="S14" s="117">
        <f t="shared" si="6"/>
        <v>2114.1825200000003</v>
      </c>
      <c r="T14" s="117">
        <f t="shared" si="6"/>
        <v>2176.83</v>
      </c>
      <c r="U14" s="117">
        <f t="shared" si="6"/>
        <v>0</v>
      </c>
      <c r="V14" s="117">
        <f t="shared" si="6"/>
        <v>2176.83</v>
      </c>
      <c r="W14" s="117">
        <f t="shared" si="6"/>
        <v>0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94"/>
      <c r="AH14" s="97"/>
    </row>
    <row r="15" spans="1:34" s="136" customFormat="1" ht="18.75">
      <c r="A15" s="132" t="s">
        <v>24</v>
      </c>
      <c r="B15" s="133">
        <f>H15+J15+L15+N15+P15+R15+T15+V15+X15+Z15+AB15+AD15</f>
        <v>840</v>
      </c>
      <c r="C15" s="134">
        <f>R15</f>
        <v>280</v>
      </c>
      <c r="D15" s="133">
        <f>252000/1000</f>
        <v>252</v>
      </c>
      <c r="E15" s="134">
        <f>I15+K15+M15+O15+Q15+S15+U15+W15+Y15+AA15+AC15+AE15</f>
        <v>252</v>
      </c>
      <c r="F15" s="135">
        <f>E15/B15</f>
        <v>0.3</v>
      </c>
      <c r="G15" s="135">
        <f>E15/C15</f>
        <v>0.9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f>280000/1000</f>
        <v>280</v>
      </c>
      <c r="S15" s="134">
        <f>252000/1000</f>
        <v>252</v>
      </c>
      <c r="T15" s="134">
        <f>280000/1000</f>
        <v>280</v>
      </c>
      <c r="U15" s="134">
        <v>0</v>
      </c>
      <c r="V15" s="134">
        <f>280000/1000</f>
        <v>280</v>
      </c>
      <c r="W15" s="134">
        <v>0</v>
      </c>
      <c r="X15" s="134">
        <v>0</v>
      </c>
      <c r="Y15" s="134"/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94"/>
      <c r="AH15" s="137"/>
    </row>
    <row r="16" spans="1:34" s="136" customFormat="1" ht="30.75" customHeight="1">
      <c r="A16" s="132" t="s">
        <v>25</v>
      </c>
      <c r="B16" s="133">
        <f>H16+J16+L16+N16+P16+R16+T16+V16+X16+Z16+AB16+AD16</f>
        <v>5690.5</v>
      </c>
      <c r="C16" s="134">
        <f>R16</f>
        <v>1896.84</v>
      </c>
      <c r="D16" s="133">
        <f>1896840/1000</f>
        <v>1896.84</v>
      </c>
      <c r="E16" s="134">
        <f>I16+K16+M16+O16+Q16+S16+U16+W16+Y16+AA16+AC16+AE16</f>
        <v>1862.18252</v>
      </c>
      <c r="F16" s="135">
        <f>E16/B16</f>
        <v>0.3272440945435375</v>
      </c>
      <c r="G16" s="135">
        <f>E16/C16</f>
        <v>0.981728833217351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f>1896840/1000</f>
        <v>1896.84</v>
      </c>
      <c r="S16" s="134">
        <f>1862182.52/1000</f>
        <v>1862.18252</v>
      </c>
      <c r="T16" s="134">
        <f>1896830/1000</f>
        <v>1896.83</v>
      </c>
      <c r="U16" s="134">
        <v>0</v>
      </c>
      <c r="V16" s="134">
        <f>1896830/1000</f>
        <v>1896.83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95"/>
      <c r="AH16" s="137"/>
    </row>
    <row r="17" spans="1:34" s="18" customFormat="1" ht="76.5" customHeight="1">
      <c r="A17" s="46" t="s">
        <v>156</v>
      </c>
      <c r="B17" s="119"/>
      <c r="C17" s="120"/>
      <c r="D17" s="120"/>
      <c r="E17" s="120"/>
      <c r="F17" s="125"/>
      <c r="G17" s="125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93" t="s">
        <v>191</v>
      </c>
      <c r="AH17" s="97"/>
    </row>
    <row r="18" spans="1:34" s="18" customFormat="1" ht="18.75" customHeight="1">
      <c r="A18" s="108" t="s">
        <v>32</v>
      </c>
      <c r="B18" s="116">
        <f>B20+B19</f>
        <v>761.9</v>
      </c>
      <c r="C18" s="116">
        <f>C20+C19</f>
        <v>435.37399999999997</v>
      </c>
      <c r="D18" s="116">
        <f>D20+D19</f>
        <v>435.15663</v>
      </c>
      <c r="E18" s="116">
        <f>E20+E19</f>
        <v>431.27455</v>
      </c>
      <c r="F18" s="123">
        <f>E18/B18</f>
        <v>0.5660513846961543</v>
      </c>
      <c r="G18" s="123">
        <f>E18/C18</f>
        <v>0.990584072544525</v>
      </c>
      <c r="H18" s="116">
        <f>H20+H19</f>
        <v>0</v>
      </c>
      <c r="I18" s="116">
        <f aca="true" t="shared" si="7" ref="I18:AE18">I20+I19</f>
        <v>0</v>
      </c>
      <c r="J18" s="116">
        <f t="shared" si="7"/>
        <v>108.844</v>
      </c>
      <c r="K18" s="116">
        <f t="shared" si="7"/>
        <v>67.28455000000001</v>
      </c>
      <c r="L18" s="116">
        <f t="shared" si="7"/>
        <v>108.844</v>
      </c>
      <c r="M18" s="116">
        <f t="shared" si="7"/>
        <v>148.22</v>
      </c>
      <c r="N18" s="116">
        <f t="shared" si="7"/>
        <v>108.844</v>
      </c>
      <c r="O18" s="116">
        <f t="shared" si="7"/>
        <v>104.28999999999999</v>
      </c>
      <c r="P18" s="116">
        <f t="shared" si="7"/>
        <v>108.842</v>
      </c>
      <c r="Q18" s="116">
        <f t="shared" si="7"/>
        <v>111.47999999999999</v>
      </c>
      <c r="R18" s="116">
        <f t="shared" si="7"/>
        <v>0</v>
      </c>
      <c r="S18" s="116">
        <f t="shared" si="7"/>
        <v>0</v>
      </c>
      <c r="T18" s="116">
        <f t="shared" si="7"/>
        <v>0</v>
      </c>
      <c r="U18" s="116">
        <f t="shared" si="7"/>
        <v>0</v>
      </c>
      <c r="V18" s="116">
        <f t="shared" si="7"/>
        <v>0</v>
      </c>
      <c r="W18" s="116">
        <f t="shared" si="7"/>
        <v>0</v>
      </c>
      <c r="X18" s="116">
        <f t="shared" si="7"/>
        <v>108.842</v>
      </c>
      <c r="Y18" s="116">
        <f t="shared" si="7"/>
        <v>0</v>
      </c>
      <c r="Z18" s="116">
        <f t="shared" si="7"/>
        <v>108.842</v>
      </c>
      <c r="AA18" s="116">
        <f t="shared" si="7"/>
        <v>0</v>
      </c>
      <c r="AB18" s="116">
        <f t="shared" si="7"/>
        <v>108.842</v>
      </c>
      <c r="AC18" s="116">
        <f t="shared" si="7"/>
        <v>0</v>
      </c>
      <c r="AD18" s="116">
        <f t="shared" si="7"/>
        <v>0</v>
      </c>
      <c r="AE18" s="116">
        <f t="shared" si="7"/>
        <v>0</v>
      </c>
      <c r="AF18" s="194"/>
      <c r="AH18" s="97"/>
    </row>
    <row r="19" spans="1:34" s="136" customFormat="1" ht="18.75" customHeight="1">
      <c r="A19" s="132" t="s">
        <v>24</v>
      </c>
      <c r="B19" s="133">
        <f>H19+J19+L19+N19+P19+R19+T19+V19+X19+Z19+AB19+AD19</f>
        <v>98</v>
      </c>
      <c r="C19" s="134">
        <f>H19+J19+L19+N19+P19+R19</f>
        <v>56</v>
      </c>
      <c r="D19" s="133">
        <f>55782.63/1000</f>
        <v>55.78263</v>
      </c>
      <c r="E19" s="134">
        <f>I19+K19+M19+O19+Q19+S19+U19+W19+Y19+AA19+AC19+AE19</f>
        <v>55.78</v>
      </c>
      <c r="F19" s="135">
        <f>E19/B19</f>
        <v>0.5691836734693878</v>
      </c>
      <c r="G19" s="135">
        <f>E19/C19</f>
        <v>0.9960714285714286</v>
      </c>
      <c r="H19" s="134">
        <v>0</v>
      </c>
      <c r="I19" s="134">
        <v>0</v>
      </c>
      <c r="J19" s="134">
        <f>14000/1000</f>
        <v>14</v>
      </c>
      <c r="K19" s="134">
        <v>10.76</v>
      </c>
      <c r="L19" s="134">
        <f>14000/1000</f>
        <v>14</v>
      </c>
      <c r="M19" s="134">
        <v>17.24</v>
      </c>
      <c r="N19" s="134">
        <f>14000/1000</f>
        <v>14</v>
      </c>
      <c r="O19" s="134">
        <v>7.93</v>
      </c>
      <c r="P19" s="134">
        <f>14000/1000</f>
        <v>14</v>
      </c>
      <c r="Q19" s="134">
        <v>19.85</v>
      </c>
      <c r="R19" s="134">
        <v>0</v>
      </c>
      <c r="S19" s="134"/>
      <c r="T19" s="134">
        <v>0</v>
      </c>
      <c r="U19" s="134"/>
      <c r="V19" s="134">
        <v>0</v>
      </c>
      <c r="W19" s="134">
        <v>0</v>
      </c>
      <c r="X19" s="134">
        <f>14000/1000</f>
        <v>14</v>
      </c>
      <c r="Y19" s="134">
        <v>0</v>
      </c>
      <c r="Z19" s="134">
        <f>14000/1000</f>
        <v>14</v>
      </c>
      <c r="AA19" s="134">
        <v>0</v>
      </c>
      <c r="AB19" s="134">
        <f>14000/1000</f>
        <v>14</v>
      </c>
      <c r="AC19" s="134"/>
      <c r="AD19" s="134">
        <v>0</v>
      </c>
      <c r="AE19" s="134">
        <v>0</v>
      </c>
      <c r="AF19" s="194"/>
      <c r="AG19" s="138"/>
      <c r="AH19" s="137"/>
    </row>
    <row r="20" spans="1:34" s="136" customFormat="1" ht="29.25" customHeight="1">
      <c r="A20" s="132" t="s">
        <v>25</v>
      </c>
      <c r="B20" s="133">
        <f>H20+J20+L20+N20+P20+R20+T20+V20+X20+Z20+AB20+AD20</f>
        <v>663.9</v>
      </c>
      <c r="C20" s="134">
        <f>H20+J20+L20+N20+P20+R20</f>
        <v>379.37399999999997</v>
      </c>
      <c r="D20" s="133">
        <f>379374/1000</f>
        <v>379.374</v>
      </c>
      <c r="E20" s="134">
        <f>I20+K20+M20+O20+Q20+S20+U20+W20+Y20+AA20+AC20+AE20</f>
        <v>375.49455</v>
      </c>
      <c r="F20" s="135">
        <f>E20/B20</f>
        <v>0.5655890194306372</v>
      </c>
      <c r="G20" s="135">
        <f>E20/C20</f>
        <v>0.9897740751870188</v>
      </c>
      <c r="H20" s="134">
        <v>0</v>
      </c>
      <c r="I20" s="134">
        <v>0</v>
      </c>
      <c r="J20" s="134">
        <f>94844/1000</f>
        <v>94.844</v>
      </c>
      <c r="K20" s="134">
        <f>56524.55/1000</f>
        <v>56.524550000000005</v>
      </c>
      <c r="L20" s="134">
        <f>94844/1000</f>
        <v>94.844</v>
      </c>
      <c r="M20" s="134">
        <v>130.98</v>
      </c>
      <c r="N20" s="134">
        <f>94844/1000</f>
        <v>94.844</v>
      </c>
      <c r="O20" s="134">
        <v>96.36</v>
      </c>
      <c r="P20" s="134">
        <f>94842/1000</f>
        <v>94.842</v>
      </c>
      <c r="Q20" s="134">
        <v>91.63</v>
      </c>
      <c r="R20" s="134">
        <v>0</v>
      </c>
      <c r="S20" s="134"/>
      <c r="T20" s="134">
        <v>0</v>
      </c>
      <c r="U20" s="134">
        <v>0</v>
      </c>
      <c r="V20" s="134">
        <v>0</v>
      </c>
      <c r="W20" s="134">
        <v>0</v>
      </c>
      <c r="X20" s="134">
        <f>94842/1000</f>
        <v>94.842</v>
      </c>
      <c r="Y20" s="134"/>
      <c r="Z20" s="134">
        <f>94842/1000</f>
        <v>94.842</v>
      </c>
      <c r="AA20" s="134"/>
      <c r="AB20" s="134">
        <f>94842/1000</f>
        <v>94.842</v>
      </c>
      <c r="AC20" s="134"/>
      <c r="AD20" s="134">
        <v>0</v>
      </c>
      <c r="AE20" s="134">
        <v>0</v>
      </c>
      <c r="AF20" s="195"/>
      <c r="AG20" s="138"/>
      <c r="AH20" s="137"/>
    </row>
    <row r="21" spans="1:34" s="18" customFormat="1" ht="75" customHeight="1">
      <c r="A21" s="45" t="s">
        <v>157</v>
      </c>
      <c r="B21" s="118"/>
      <c r="C21" s="120"/>
      <c r="D21" s="120"/>
      <c r="E21" s="120"/>
      <c r="F21" s="125"/>
      <c r="G21" s="125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93" t="s">
        <v>192</v>
      </c>
      <c r="AH21" s="97"/>
    </row>
    <row r="22" spans="1:34" s="18" customFormat="1" ht="20.25">
      <c r="A22" s="108" t="s">
        <v>32</v>
      </c>
      <c r="B22" s="116">
        <f>B23+B24</f>
        <v>870.8</v>
      </c>
      <c r="C22" s="116">
        <f>C23+C24</f>
        <v>560.90203</v>
      </c>
      <c r="D22" s="116">
        <f>D23+D24</f>
        <v>502.01112</v>
      </c>
      <c r="E22" s="116">
        <f>E23+E24</f>
        <v>498.07106</v>
      </c>
      <c r="F22" s="123">
        <f>E22/B22</f>
        <v>0.5719695222783647</v>
      </c>
      <c r="G22" s="123">
        <f>E22/C22</f>
        <v>0.8879822738384455</v>
      </c>
      <c r="H22" s="117">
        <f aca="true" t="shared" si="8" ref="H22:AE22">H23+H24</f>
        <v>0</v>
      </c>
      <c r="I22" s="117">
        <f t="shared" si="8"/>
        <v>0</v>
      </c>
      <c r="J22" s="117">
        <f t="shared" si="8"/>
        <v>130.649</v>
      </c>
      <c r="K22" s="117">
        <f t="shared" si="8"/>
        <v>40.52106</v>
      </c>
      <c r="L22" s="117">
        <f t="shared" si="8"/>
        <v>130.649</v>
      </c>
      <c r="M22" s="117">
        <f t="shared" si="8"/>
        <v>168.33</v>
      </c>
      <c r="N22" s="117">
        <f t="shared" si="8"/>
        <v>38.7</v>
      </c>
      <c r="O22" s="117">
        <f t="shared" si="8"/>
        <v>50.599999999999994</v>
      </c>
      <c r="P22" s="117">
        <f t="shared" si="8"/>
        <v>193.852</v>
      </c>
      <c r="Q22" s="117">
        <f t="shared" si="8"/>
        <v>116.16999999999999</v>
      </c>
      <c r="R22" s="117">
        <f t="shared" si="8"/>
        <v>67.05203</v>
      </c>
      <c r="S22" s="117">
        <f t="shared" si="8"/>
        <v>122.45</v>
      </c>
      <c r="T22" s="117">
        <f t="shared" si="8"/>
        <v>0</v>
      </c>
      <c r="U22" s="117">
        <f t="shared" si="8"/>
        <v>0</v>
      </c>
      <c r="V22" s="117">
        <f t="shared" si="8"/>
        <v>31.05</v>
      </c>
      <c r="W22" s="117">
        <f t="shared" si="8"/>
        <v>0</v>
      </c>
      <c r="X22" s="117">
        <f t="shared" si="8"/>
        <v>143.05</v>
      </c>
      <c r="Y22" s="117">
        <f t="shared" si="8"/>
        <v>0</v>
      </c>
      <c r="Z22" s="117">
        <f t="shared" si="8"/>
        <v>31.05</v>
      </c>
      <c r="AA22" s="117">
        <f t="shared" si="8"/>
        <v>0</v>
      </c>
      <c r="AB22" s="117">
        <f t="shared" si="8"/>
        <v>104.74797000000001</v>
      </c>
      <c r="AC22" s="117">
        <f t="shared" si="8"/>
        <v>0</v>
      </c>
      <c r="AD22" s="117">
        <f t="shared" si="8"/>
        <v>0</v>
      </c>
      <c r="AE22" s="117">
        <f t="shared" si="8"/>
        <v>0</v>
      </c>
      <c r="AF22" s="194"/>
      <c r="AG22" s="92"/>
      <c r="AH22" s="98"/>
    </row>
    <row r="23" spans="1:34" s="136" customFormat="1" ht="20.25" customHeight="1">
      <c r="A23" s="132" t="s">
        <v>24</v>
      </c>
      <c r="B23" s="133">
        <f>H23+J23+L23+N23+P23+R23+T23+V23+X23+Z23+AB23+AD23</f>
        <v>636.4</v>
      </c>
      <c r="C23" s="134">
        <f>H23+J23+L23+N23+P23+R23</f>
        <v>429.14403</v>
      </c>
      <c r="D23" s="133">
        <f>370253.12/1000</f>
        <v>370.25311999999997</v>
      </c>
      <c r="E23" s="134">
        <f>I23+K23+M23+O23+Q23+S23+U23+W23+Y23+AA23+AC23+AE23</f>
        <v>370.25106</v>
      </c>
      <c r="F23" s="135">
        <f>E23/B23</f>
        <v>0.581789849151477</v>
      </c>
      <c r="G23" s="135">
        <f>E23/C23</f>
        <v>0.8627664236643348</v>
      </c>
      <c r="H23" s="134">
        <v>0</v>
      </c>
      <c r="I23" s="134">
        <v>0</v>
      </c>
      <c r="J23" s="134">
        <f>95470/1000</f>
        <v>95.47</v>
      </c>
      <c r="K23" s="134">
        <f>40521.06/1000</f>
        <v>40.52106</v>
      </c>
      <c r="L23" s="134">
        <f>95470/1000</f>
        <v>95.47</v>
      </c>
      <c r="M23" s="134">
        <v>119.29</v>
      </c>
      <c r="N23" s="134">
        <f>38700/1000</f>
        <v>38.7</v>
      </c>
      <c r="O23" s="134">
        <v>31.13</v>
      </c>
      <c r="P23" s="134">
        <f>132452/1000</f>
        <v>132.452</v>
      </c>
      <c r="Q23" s="134">
        <v>57.8</v>
      </c>
      <c r="R23" s="134">
        <f>67052.03/1000</f>
        <v>67.05203</v>
      </c>
      <c r="S23" s="134">
        <v>121.51</v>
      </c>
      <c r="T23" s="134"/>
      <c r="U23" s="134"/>
      <c r="V23" s="134">
        <f>31050/1000</f>
        <v>31.05</v>
      </c>
      <c r="W23" s="134"/>
      <c r="X23" s="134">
        <f>96210/1000</f>
        <v>96.21</v>
      </c>
      <c r="Y23" s="134"/>
      <c r="Z23" s="134">
        <f>31050/1000</f>
        <v>31.05</v>
      </c>
      <c r="AA23" s="134">
        <v>0</v>
      </c>
      <c r="AB23" s="134">
        <f>48945.97/1000</f>
        <v>48.94597</v>
      </c>
      <c r="AC23" s="134"/>
      <c r="AD23" s="134">
        <v>0</v>
      </c>
      <c r="AE23" s="134"/>
      <c r="AF23" s="194"/>
      <c r="AG23" s="139"/>
      <c r="AH23" s="140"/>
    </row>
    <row r="24" spans="1:34" s="136" customFormat="1" ht="23.25" customHeight="1">
      <c r="A24" s="132" t="s">
        <v>25</v>
      </c>
      <c r="B24" s="133">
        <f>H24+J24+L24+N24+P24+R24+T24+V24+X24+Z24+AB24+AD24</f>
        <v>234.4</v>
      </c>
      <c r="C24" s="134">
        <f>H24+J24+L24+N24+P24+R24</f>
        <v>131.758</v>
      </c>
      <c r="D24" s="133">
        <f>131758/1000</f>
        <v>131.758</v>
      </c>
      <c r="E24" s="134">
        <f>I24+K24+M24+O24+Q24+S24+U24+W24+Y24+AA24+AC24+AE24</f>
        <v>127.82</v>
      </c>
      <c r="F24" s="135">
        <f>E24/B24</f>
        <v>0.5453071672354949</v>
      </c>
      <c r="G24" s="135">
        <f>E24/C24</f>
        <v>0.9701118717649022</v>
      </c>
      <c r="H24" s="134">
        <v>0</v>
      </c>
      <c r="I24" s="134">
        <v>0</v>
      </c>
      <c r="J24" s="134">
        <f>35179/1000</f>
        <v>35.179</v>
      </c>
      <c r="K24" s="134">
        <v>0</v>
      </c>
      <c r="L24" s="134">
        <f>35179/1000</f>
        <v>35.179</v>
      </c>
      <c r="M24" s="134">
        <v>49.04</v>
      </c>
      <c r="N24" s="134">
        <v>0</v>
      </c>
      <c r="O24" s="134">
        <v>19.47</v>
      </c>
      <c r="P24" s="134">
        <f>61400/1000</f>
        <v>61.4</v>
      </c>
      <c r="Q24" s="134">
        <v>58.37</v>
      </c>
      <c r="R24" s="134"/>
      <c r="S24" s="134">
        <v>0.94</v>
      </c>
      <c r="T24" s="134"/>
      <c r="U24" s="134"/>
      <c r="V24" s="134">
        <v>0</v>
      </c>
      <c r="W24" s="134"/>
      <c r="X24" s="134">
        <f>46840/1000</f>
        <v>46.84</v>
      </c>
      <c r="Y24" s="134"/>
      <c r="Z24" s="134">
        <v>0</v>
      </c>
      <c r="AA24" s="134"/>
      <c r="AB24" s="134">
        <f>55802/1000</f>
        <v>55.802</v>
      </c>
      <c r="AC24" s="134">
        <v>0</v>
      </c>
      <c r="AD24" s="134">
        <v>0</v>
      </c>
      <c r="AE24" s="134">
        <v>0</v>
      </c>
      <c r="AF24" s="195"/>
      <c r="AG24" s="139"/>
      <c r="AH24" s="140"/>
    </row>
    <row r="25" spans="1:34" s="18" customFormat="1" ht="96" customHeight="1">
      <c r="A25" s="45" t="s">
        <v>158</v>
      </c>
      <c r="B25" s="118"/>
      <c r="C25" s="120"/>
      <c r="D25" s="120"/>
      <c r="E25" s="120"/>
      <c r="F25" s="125"/>
      <c r="G25" s="125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93" t="s">
        <v>193</v>
      </c>
      <c r="AH25" s="97"/>
    </row>
    <row r="26" spans="1:34" s="18" customFormat="1" ht="18.75">
      <c r="A26" s="108" t="s">
        <v>32</v>
      </c>
      <c r="B26" s="116">
        <f aca="true" t="shared" si="9" ref="B26:AE26">B27</f>
        <v>587</v>
      </c>
      <c r="C26" s="116">
        <f t="shared" si="9"/>
        <v>568.28</v>
      </c>
      <c r="D26" s="116">
        <f t="shared" si="9"/>
        <v>568.28</v>
      </c>
      <c r="E26" s="116">
        <f t="shared" si="9"/>
        <v>453.4</v>
      </c>
      <c r="F26" s="123">
        <f>E26/B26</f>
        <v>0.7724020442930153</v>
      </c>
      <c r="G26" s="123">
        <f>E26/C26</f>
        <v>0.7978461321883579</v>
      </c>
      <c r="H26" s="117">
        <f t="shared" si="9"/>
        <v>0</v>
      </c>
      <c r="I26" s="117">
        <f t="shared" si="9"/>
        <v>0</v>
      </c>
      <c r="J26" s="117">
        <f t="shared" si="9"/>
        <v>9.36</v>
      </c>
      <c r="K26" s="117">
        <f t="shared" si="9"/>
        <v>2.07</v>
      </c>
      <c r="L26" s="117">
        <f t="shared" si="9"/>
        <v>0</v>
      </c>
      <c r="M26" s="117">
        <f t="shared" si="9"/>
        <v>0</v>
      </c>
      <c r="N26" s="117">
        <f t="shared" si="9"/>
        <v>362.46</v>
      </c>
      <c r="O26" s="117">
        <f t="shared" si="9"/>
        <v>337.51</v>
      </c>
      <c r="P26" s="117">
        <f t="shared" si="9"/>
        <v>187.1</v>
      </c>
      <c r="Q26" s="117">
        <f t="shared" si="9"/>
        <v>113.82</v>
      </c>
      <c r="R26" s="117">
        <f t="shared" si="9"/>
        <v>9.36</v>
      </c>
      <c r="S26" s="117">
        <f t="shared" si="9"/>
        <v>0</v>
      </c>
      <c r="T26" s="117">
        <f t="shared" si="9"/>
        <v>0</v>
      </c>
      <c r="U26" s="117">
        <f t="shared" si="9"/>
        <v>0</v>
      </c>
      <c r="V26" s="117">
        <f t="shared" si="9"/>
        <v>9.36</v>
      </c>
      <c r="W26" s="117">
        <f t="shared" si="9"/>
        <v>0</v>
      </c>
      <c r="X26" s="117">
        <f t="shared" si="9"/>
        <v>0</v>
      </c>
      <c r="Y26" s="117">
        <f t="shared" si="9"/>
        <v>0</v>
      </c>
      <c r="Z26" s="117">
        <f t="shared" si="9"/>
        <v>9.36</v>
      </c>
      <c r="AA26" s="117">
        <f t="shared" si="9"/>
        <v>0</v>
      </c>
      <c r="AB26" s="117">
        <f t="shared" si="9"/>
        <v>0</v>
      </c>
      <c r="AC26" s="117">
        <f t="shared" si="9"/>
        <v>0</v>
      </c>
      <c r="AD26" s="117">
        <f t="shared" si="9"/>
        <v>0</v>
      </c>
      <c r="AE26" s="117">
        <f t="shared" si="9"/>
        <v>0</v>
      </c>
      <c r="AF26" s="194"/>
      <c r="AH26" s="97"/>
    </row>
    <row r="27" spans="1:34" s="136" customFormat="1" ht="18.75">
      <c r="A27" s="132" t="s">
        <v>25</v>
      </c>
      <c r="B27" s="133">
        <f>H27+J27+L27+N27+P27+R27+T27+V27+X27+Z27+AB27+AD27</f>
        <v>587</v>
      </c>
      <c r="C27" s="134">
        <f>H27+J27+L27+N27+P27+R27</f>
        <v>568.28</v>
      </c>
      <c r="D27" s="133">
        <f>568280/1000</f>
        <v>568.28</v>
      </c>
      <c r="E27" s="134">
        <f>I27+K27+M27+O27+Q27+S27+U27+W27+Y27+AA27+AC27+AE27</f>
        <v>453.4</v>
      </c>
      <c r="F27" s="135">
        <f>E27/B27</f>
        <v>0.7724020442930153</v>
      </c>
      <c r="G27" s="135">
        <f>E27/C27</f>
        <v>0.7978461321883579</v>
      </c>
      <c r="H27" s="134">
        <v>0</v>
      </c>
      <c r="I27" s="134">
        <v>0</v>
      </c>
      <c r="J27" s="134">
        <f>9360/1000</f>
        <v>9.36</v>
      </c>
      <c r="K27" s="134">
        <v>2.07</v>
      </c>
      <c r="L27" s="134">
        <v>0</v>
      </c>
      <c r="M27" s="134"/>
      <c r="N27" s="134">
        <f>362460/1000</f>
        <v>362.46</v>
      </c>
      <c r="O27" s="134">
        <v>337.51</v>
      </c>
      <c r="P27" s="134">
        <f>187100/1000</f>
        <v>187.1</v>
      </c>
      <c r="Q27" s="134">
        <v>113.82</v>
      </c>
      <c r="R27" s="134">
        <f>9360/1000</f>
        <v>9.36</v>
      </c>
      <c r="S27" s="134"/>
      <c r="T27" s="134">
        <v>0</v>
      </c>
      <c r="U27" s="134"/>
      <c r="V27" s="134">
        <f>9360/1000</f>
        <v>9.36</v>
      </c>
      <c r="W27" s="134"/>
      <c r="X27" s="134">
        <v>0</v>
      </c>
      <c r="Y27" s="134">
        <v>0</v>
      </c>
      <c r="Z27" s="134">
        <f>9360/1000</f>
        <v>9.36</v>
      </c>
      <c r="AA27" s="134"/>
      <c r="AB27" s="134">
        <v>0</v>
      </c>
      <c r="AC27" s="134"/>
      <c r="AD27" s="134">
        <v>0</v>
      </c>
      <c r="AE27" s="134"/>
      <c r="AF27" s="195"/>
      <c r="AH27" s="137"/>
    </row>
    <row r="28" spans="1:34" s="18" customFormat="1" ht="67.5" customHeight="1">
      <c r="A28" s="45" t="s">
        <v>159</v>
      </c>
      <c r="B28" s="118"/>
      <c r="C28" s="120"/>
      <c r="D28" s="120"/>
      <c r="E28" s="120"/>
      <c r="F28" s="125"/>
      <c r="G28" s="12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84" t="s">
        <v>194</v>
      </c>
      <c r="AH28" s="97"/>
    </row>
    <row r="29" spans="1:34" s="18" customFormat="1" ht="20.25">
      <c r="A29" s="108" t="s">
        <v>32</v>
      </c>
      <c r="B29" s="116">
        <f>B30</f>
        <v>1393.3</v>
      </c>
      <c r="C29" s="116">
        <f aca="true" t="shared" si="10" ref="C29:AE29">C30</f>
        <v>464.44</v>
      </c>
      <c r="D29" s="116">
        <f t="shared" si="10"/>
        <v>464.44</v>
      </c>
      <c r="E29" s="116">
        <f t="shared" si="10"/>
        <v>17.4</v>
      </c>
      <c r="F29" s="123">
        <f>E29/B29</f>
        <v>0.012488337041556018</v>
      </c>
      <c r="G29" s="123">
        <f>E29/C29</f>
        <v>0.03746447334424253</v>
      </c>
      <c r="H29" s="116">
        <f t="shared" si="10"/>
        <v>0</v>
      </c>
      <c r="I29" s="116">
        <f t="shared" si="10"/>
        <v>0</v>
      </c>
      <c r="J29" s="116">
        <f t="shared" si="10"/>
        <v>0</v>
      </c>
      <c r="K29" s="116">
        <f t="shared" si="10"/>
        <v>0</v>
      </c>
      <c r="L29" s="116">
        <f t="shared" si="10"/>
        <v>0</v>
      </c>
      <c r="M29" s="116">
        <f t="shared" si="10"/>
        <v>0</v>
      </c>
      <c r="N29" s="116">
        <f t="shared" si="10"/>
        <v>0</v>
      </c>
      <c r="O29" s="116">
        <f t="shared" si="10"/>
        <v>0</v>
      </c>
      <c r="P29" s="116">
        <f t="shared" si="10"/>
        <v>0</v>
      </c>
      <c r="Q29" s="116">
        <f t="shared" si="10"/>
        <v>0</v>
      </c>
      <c r="R29" s="116">
        <f t="shared" si="10"/>
        <v>464.44</v>
      </c>
      <c r="S29" s="116">
        <f t="shared" si="10"/>
        <v>17.4</v>
      </c>
      <c r="T29" s="116">
        <f t="shared" si="10"/>
        <v>464.44</v>
      </c>
      <c r="U29" s="116">
        <f t="shared" si="10"/>
        <v>0</v>
      </c>
      <c r="V29" s="116">
        <f t="shared" si="10"/>
        <v>464.42</v>
      </c>
      <c r="W29" s="116">
        <f t="shared" si="10"/>
        <v>0</v>
      </c>
      <c r="X29" s="116">
        <f t="shared" si="10"/>
        <v>0</v>
      </c>
      <c r="Y29" s="116">
        <f t="shared" si="10"/>
        <v>0</v>
      </c>
      <c r="Z29" s="116">
        <f t="shared" si="10"/>
        <v>0</v>
      </c>
      <c r="AA29" s="116">
        <f t="shared" si="10"/>
        <v>0</v>
      </c>
      <c r="AB29" s="116">
        <f t="shared" si="10"/>
        <v>0</v>
      </c>
      <c r="AC29" s="116">
        <f t="shared" si="10"/>
        <v>0</v>
      </c>
      <c r="AD29" s="116">
        <f t="shared" si="10"/>
        <v>0</v>
      </c>
      <c r="AE29" s="116">
        <f t="shared" si="10"/>
        <v>0</v>
      </c>
      <c r="AF29" s="110"/>
      <c r="AG29" s="92"/>
      <c r="AH29" s="97"/>
    </row>
    <row r="30" spans="1:34" s="136" customFormat="1" ht="20.25">
      <c r="A30" s="132" t="s">
        <v>25</v>
      </c>
      <c r="B30" s="133">
        <f>H30+J30+L30+N30+P30+R30+T30+V30+X30+Z30+AB30+AD30</f>
        <v>1393.3</v>
      </c>
      <c r="C30" s="134">
        <f>H30+J30+L30+N30+P30+R30</f>
        <v>464.44</v>
      </c>
      <c r="D30" s="133">
        <f>464440/1000</f>
        <v>464.44</v>
      </c>
      <c r="E30" s="134">
        <f>I30+K30+M30+O30+Q30+S30+U30+W30+Y30+AA30+AC30+AE30</f>
        <v>17.4</v>
      </c>
      <c r="F30" s="135">
        <f>E30/B30</f>
        <v>0.012488337041556018</v>
      </c>
      <c r="G30" s="135">
        <f>E30/C30</f>
        <v>0.03746447334424253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34">
        <f>464440/1000</f>
        <v>464.44</v>
      </c>
      <c r="S30" s="134">
        <v>17.4</v>
      </c>
      <c r="T30" s="134">
        <f>464440/1000</f>
        <v>464.44</v>
      </c>
      <c r="U30" s="134"/>
      <c r="V30" s="134">
        <f>464420/1000</f>
        <v>464.42</v>
      </c>
      <c r="W30" s="134"/>
      <c r="X30" s="141">
        <v>0</v>
      </c>
      <c r="Y30" s="134"/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96" t="s">
        <v>181</v>
      </c>
      <c r="AG30" s="139"/>
      <c r="AH30" s="140"/>
    </row>
    <row r="31" spans="1:34" s="18" customFormat="1" ht="19.5" customHeight="1">
      <c r="A31" s="45" t="s">
        <v>160</v>
      </c>
      <c r="B31" s="118"/>
      <c r="C31" s="119"/>
      <c r="D31" s="119"/>
      <c r="E31" s="119"/>
      <c r="F31" s="124"/>
      <c r="G31" s="124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96"/>
      <c r="AH31" s="97"/>
    </row>
    <row r="32" spans="1:34" s="18" customFormat="1" ht="18.75">
      <c r="A32" s="108" t="s">
        <v>32</v>
      </c>
      <c r="B32" s="116">
        <f aca="true" t="shared" si="11" ref="B32:AE32">B33</f>
        <v>75.2</v>
      </c>
      <c r="C32" s="116">
        <f t="shared" si="11"/>
        <v>75.2</v>
      </c>
      <c r="D32" s="116">
        <f t="shared" si="11"/>
        <v>75.2</v>
      </c>
      <c r="E32" s="116">
        <f t="shared" si="11"/>
        <v>72.16</v>
      </c>
      <c r="F32" s="123">
        <f>E32/B32</f>
        <v>0.9595744680851063</v>
      </c>
      <c r="G32" s="123">
        <f>E32/C32</f>
        <v>0.9595744680851063</v>
      </c>
      <c r="H32" s="117">
        <f t="shared" si="11"/>
        <v>0</v>
      </c>
      <c r="I32" s="117">
        <f t="shared" si="11"/>
        <v>0</v>
      </c>
      <c r="J32" s="117">
        <f t="shared" si="11"/>
        <v>75.2</v>
      </c>
      <c r="K32" s="117">
        <f t="shared" si="11"/>
        <v>0</v>
      </c>
      <c r="L32" s="117">
        <f t="shared" si="11"/>
        <v>0</v>
      </c>
      <c r="M32" s="117">
        <f t="shared" si="11"/>
        <v>72.16</v>
      </c>
      <c r="N32" s="117">
        <f t="shared" si="11"/>
        <v>0</v>
      </c>
      <c r="O32" s="117">
        <f t="shared" si="11"/>
        <v>0</v>
      </c>
      <c r="P32" s="117">
        <f t="shared" si="11"/>
        <v>0</v>
      </c>
      <c r="Q32" s="117">
        <f t="shared" si="11"/>
        <v>0</v>
      </c>
      <c r="R32" s="117">
        <f t="shared" si="11"/>
        <v>0</v>
      </c>
      <c r="S32" s="117">
        <f t="shared" si="11"/>
        <v>0</v>
      </c>
      <c r="T32" s="117">
        <f t="shared" si="11"/>
        <v>0</v>
      </c>
      <c r="U32" s="117">
        <f t="shared" si="11"/>
        <v>0</v>
      </c>
      <c r="V32" s="117">
        <f t="shared" si="11"/>
        <v>0</v>
      </c>
      <c r="W32" s="117">
        <f t="shared" si="11"/>
        <v>0</v>
      </c>
      <c r="X32" s="117">
        <f t="shared" si="11"/>
        <v>0</v>
      </c>
      <c r="Y32" s="117">
        <f t="shared" si="11"/>
        <v>0</v>
      </c>
      <c r="Z32" s="117">
        <f t="shared" si="11"/>
        <v>0</v>
      </c>
      <c r="AA32" s="117">
        <f t="shared" si="11"/>
        <v>0</v>
      </c>
      <c r="AB32" s="117">
        <f t="shared" si="11"/>
        <v>0</v>
      </c>
      <c r="AC32" s="117">
        <f t="shared" si="11"/>
        <v>0</v>
      </c>
      <c r="AD32" s="117">
        <f t="shared" si="11"/>
        <v>0</v>
      </c>
      <c r="AE32" s="117">
        <f t="shared" si="11"/>
        <v>0</v>
      </c>
      <c r="AF32" s="110"/>
      <c r="AH32" s="97"/>
    </row>
    <row r="33" spans="1:34" s="136" customFormat="1" ht="18.75">
      <c r="A33" s="132" t="s">
        <v>25</v>
      </c>
      <c r="B33" s="133">
        <f>H33+J33+L33+N33+P33+R33+T33+V33+X33+Z33+AB33+AD33</f>
        <v>75.2</v>
      </c>
      <c r="C33" s="134">
        <f>H33+J33+L33+N33+P33+R33</f>
        <v>75.2</v>
      </c>
      <c r="D33" s="134">
        <f>75200/1000</f>
        <v>75.2</v>
      </c>
      <c r="E33" s="134">
        <f>I33+K33+M33+O33+Q33+S33+U33+W33+Y33+AA33+AC33+AE33</f>
        <v>72.16</v>
      </c>
      <c r="F33" s="135">
        <f>E33/B33</f>
        <v>0.9595744680851063</v>
      </c>
      <c r="G33" s="135">
        <f>E33/C33</f>
        <v>0.9595744680851063</v>
      </c>
      <c r="H33" s="134">
        <v>0</v>
      </c>
      <c r="I33" s="134">
        <v>0</v>
      </c>
      <c r="J33" s="134">
        <f>75200/1000</f>
        <v>75.2</v>
      </c>
      <c r="K33" s="134">
        <v>0</v>
      </c>
      <c r="L33" s="134">
        <v>0</v>
      </c>
      <c r="M33" s="134">
        <v>72.16</v>
      </c>
      <c r="N33" s="134"/>
      <c r="O33" s="134">
        <v>0</v>
      </c>
      <c r="P33" s="134">
        <v>0</v>
      </c>
      <c r="Q33" s="134"/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96" t="s">
        <v>179</v>
      </c>
      <c r="AH33" s="137"/>
    </row>
    <row r="34" spans="1:34" s="18" customFormat="1" ht="56.25">
      <c r="A34" s="45" t="s">
        <v>161</v>
      </c>
      <c r="B34" s="118"/>
      <c r="C34" s="120"/>
      <c r="D34" s="120"/>
      <c r="E34" s="120"/>
      <c r="F34" s="125"/>
      <c r="G34" s="125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96"/>
      <c r="AH34" s="97"/>
    </row>
    <row r="35" spans="1:34" s="18" customFormat="1" ht="18.75">
      <c r="A35" s="108" t="s">
        <v>32</v>
      </c>
      <c r="B35" s="116">
        <f aca="true" t="shared" si="12" ref="B35:AE35">B36</f>
        <v>0</v>
      </c>
      <c r="C35" s="116">
        <f t="shared" si="12"/>
        <v>0</v>
      </c>
      <c r="D35" s="116">
        <f t="shared" si="12"/>
        <v>0</v>
      </c>
      <c r="E35" s="116">
        <f t="shared" si="12"/>
        <v>0</v>
      </c>
      <c r="F35" s="123">
        <v>0</v>
      </c>
      <c r="G35" s="123">
        <v>0</v>
      </c>
      <c r="H35" s="117">
        <f t="shared" si="12"/>
        <v>0</v>
      </c>
      <c r="I35" s="117">
        <f t="shared" si="12"/>
        <v>0</v>
      </c>
      <c r="J35" s="117">
        <f t="shared" si="12"/>
        <v>0</v>
      </c>
      <c r="K35" s="117">
        <f t="shared" si="12"/>
        <v>0</v>
      </c>
      <c r="L35" s="117">
        <f t="shared" si="12"/>
        <v>0</v>
      </c>
      <c r="M35" s="117">
        <f t="shared" si="12"/>
        <v>0</v>
      </c>
      <c r="N35" s="117">
        <f t="shared" si="12"/>
        <v>0</v>
      </c>
      <c r="O35" s="117">
        <f t="shared" si="12"/>
        <v>0</v>
      </c>
      <c r="P35" s="117">
        <f t="shared" si="12"/>
        <v>0</v>
      </c>
      <c r="Q35" s="117">
        <f t="shared" si="12"/>
        <v>0</v>
      </c>
      <c r="R35" s="117">
        <f t="shared" si="12"/>
        <v>0</v>
      </c>
      <c r="S35" s="117">
        <f t="shared" si="12"/>
        <v>0</v>
      </c>
      <c r="T35" s="117">
        <f t="shared" si="12"/>
        <v>0</v>
      </c>
      <c r="U35" s="117">
        <f t="shared" si="12"/>
        <v>0</v>
      </c>
      <c r="V35" s="117">
        <f t="shared" si="12"/>
        <v>0</v>
      </c>
      <c r="W35" s="117">
        <f t="shared" si="12"/>
        <v>0</v>
      </c>
      <c r="X35" s="117">
        <f t="shared" si="12"/>
        <v>0</v>
      </c>
      <c r="Y35" s="117">
        <f t="shared" si="12"/>
        <v>0</v>
      </c>
      <c r="Z35" s="117">
        <f t="shared" si="12"/>
        <v>0</v>
      </c>
      <c r="AA35" s="117">
        <f t="shared" si="12"/>
        <v>0</v>
      </c>
      <c r="AB35" s="117">
        <f t="shared" si="12"/>
        <v>0</v>
      </c>
      <c r="AC35" s="117">
        <f t="shared" si="12"/>
        <v>0</v>
      </c>
      <c r="AD35" s="117">
        <f t="shared" si="12"/>
        <v>0</v>
      </c>
      <c r="AE35" s="117">
        <f t="shared" si="12"/>
        <v>0</v>
      </c>
      <c r="AF35" s="110"/>
      <c r="AH35" s="97"/>
    </row>
    <row r="36" spans="1:34" s="143" customFormat="1" ht="18.75">
      <c r="A36" s="132" t="s">
        <v>25</v>
      </c>
      <c r="B36" s="133">
        <f>H36+J36+L36+N36+P36+R36+T36+V36+X36+Z36+AB36+AD36</f>
        <v>0</v>
      </c>
      <c r="C36" s="134">
        <f>H36</f>
        <v>0</v>
      </c>
      <c r="D36" s="134">
        <f>H36+J36+L36+N36+P36+R36+T36+V36</f>
        <v>0</v>
      </c>
      <c r="E36" s="134">
        <f>I36+K36+M36+O36+Q36+S36+U36+W36+Y36+AA36+AC36+AE36</f>
        <v>0</v>
      </c>
      <c r="F36" s="135">
        <v>0</v>
      </c>
      <c r="G36" s="135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42"/>
      <c r="AH36" s="144"/>
    </row>
    <row r="37" spans="1:34" s="18" customFormat="1" ht="18.75">
      <c r="A37" s="113" t="s">
        <v>151</v>
      </c>
      <c r="B37" s="121">
        <f>B38+B39</f>
        <v>10218.699999999999</v>
      </c>
      <c r="C37" s="121">
        <f>C38+C39</f>
        <v>4281.036029999999</v>
      </c>
      <c r="D37" s="121">
        <f aca="true" t="shared" si="13" ref="D37:AE37">D38+D39</f>
        <v>4193.927749999999</v>
      </c>
      <c r="E37" s="121">
        <f t="shared" si="13"/>
        <v>3586.4881300000006</v>
      </c>
      <c r="F37" s="126">
        <f>E37/B37</f>
        <v>0.35097303277324915</v>
      </c>
      <c r="G37" s="126">
        <f>E37/C37</f>
        <v>0.8377617251681951</v>
      </c>
      <c r="H37" s="121">
        <f t="shared" si="13"/>
        <v>0</v>
      </c>
      <c r="I37" s="121">
        <f t="shared" si="13"/>
        <v>0</v>
      </c>
      <c r="J37" s="121">
        <f t="shared" si="13"/>
        <v>324.053</v>
      </c>
      <c r="K37" s="121">
        <f t="shared" si="13"/>
        <v>109.87561</v>
      </c>
      <c r="L37" s="121">
        <f t="shared" si="13"/>
        <v>239.493</v>
      </c>
      <c r="M37" s="121">
        <f t="shared" si="13"/>
        <v>388.71</v>
      </c>
      <c r="N37" s="121">
        <f t="shared" si="13"/>
        <v>510.00399999999996</v>
      </c>
      <c r="O37" s="121">
        <f t="shared" si="13"/>
        <v>492.4</v>
      </c>
      <c r="P37" s="121">
        <f t="shared" si="13"/>
        <v>489.794</v>
      </c>
      <c r="Q37" s="121">
        <f t="shared" si="13"/>
        <v>341.47</v>
      </c>
      <c r="R37" s="121">
        <f t="shared" si="13"/>
        <v>2717.6920299999997</v>
      </c>
      <c r="S37" s="121">
        <f t="shared" si="13"/>
        <v>2254.03252</v>
      </c>
      <c r="T37" s="121">
        <f t="shared" si="13"/>
        <v>2641.27</v>
      </c>
      <c r="U37" s="121">
        <f>U38+U39</f>
        <v>0</v>
      </c>
      <c r="V37" s="121">
        <f t="shared" si="13"/>
        <v>2681.66</v>
      </c>
      <c r="W37" s="121">
        <f t="shared" si="13"/>
        <v>0</v>
      </c>
      <c r="X37" s="121">
        <f t="shared" si="13"/>
        <v>251.892</v>
      </c>
      <c r="Y37" s="121">
        <f t="shared" si="13"/>
        <v>0</v>
      </c>
      <c r="Z37" s="121">
        <f>Z38+Z39</f>
        <v>149.252</v>
      </c>
      <c r="AA37" s="121">
        <f t="shared" si="13"/>
        <v>0</v>
      </c>
      <c r="AB37" s="121">
        <f t="shared" si="13"/>
        <v>213.58997</v>
      </c>
      <c r="AC37" s="121">
        <f t="shared" si="13"/>
        <v>0</v>
      </c>
      <c r="AD37" s="121">
        <f t="shared" si="13"/>
        <v>0</v>
      </c>
      <c r="AE37" s="121">
        <f t="shared" si="13"/>
        <v>0</v>
      </c>
      <c r="AF37" s="114"/>
      <c r="AH37" s="97"/>
    </row>
    <row r="38" spans="1:34" s="18" customFormat="1" ht="18.75">
      <c r="A38" s="115" t="s">
        <v>24</v>
      </c>
      <c r="B38" s="122">
        <f>B15+B19+B23</f>
        <v>1574.4</v>
      </c>
      <c r="C38" s="122">
        <f>C15+C19+C23</f>
        <v>765.1440299999999</v>
      </c>
      <c r="D38" s="122">
        <f>D15+D19+D23</f>
        <v>678.03575</v>
      </c>
      <c r="E38" s="122">
        <f>E15+E19+E23</f>
        <v>678.03106</v>
      </c>
      <c r="F38" s="127">
        <f>E38/B38</f>
        <v>0.4306599720528455</v>
      </c>
      <c r="G38" s="127">
        <f>E38/C38</f>
        <v>0.8861482719795907</v>
      </c>
      <c r="H38" s="122">
        <f aca="true" t="shared" si="14" ref="H38:AE38">H15+H19+H23</f>
        <v>0</v>
      </c>
      <c r="I38" s="122">
        <f t="shared" si="14"/>
        <v>0</v>
      </c>
      <c r="J38" s="122">
        <f t="shared" si="14"/>
        <v>109.47</v>
      </c>
      <c r="K38" s="122">
        <f t="shared" si="14"/>
        <v>51.28106</v>
      </c>
      <c r="L38" s="122">
        <f t="shared" si="14"/>
        <v>109.47</v>
      </c>
      <c r="M38" s="122">
        <f t="shared" si="14"/>
        <v>136.53</v>
      </c>
      <c r="N38" s="122">
        <f t="shared" si="14"/>
        <v>52.7</v>
      </c>
      <c r="O38" s="122">
        <f t="shared" si="14"/>
        <v>39.06</v>
      </c>
      <c r="P38" s="122">
        <f t="shared" si="14"/>
        <v>146.452</v>
      </c>
      <c r="Q38" s="122">
        <f t="shared" si="14"/>
        <v>77.65</v>
      </c>
      <c r="R38" s="122">
        <f t="shared" si="14"/>
        <v>347.05203</v>
      </c>
      <c r="S38" s="122">
        <f t="shared" si="14"/>
        <v>373.51</v>
      </c>
      <c r="T38" s="122">
        <f t="shared" si="14"/>
        <v>280</v>
      </c>
      <c r="U38" s="122">
        <f>U15+U19+U23</f>
        <v>0</v>
      </c>
      <c r="V38" s="122">
        <f t="shared" si="14"/>
        <v>311.05</v>
      </c>
      <c r="W38" s="122">
        <f t="shared" si="14"/>
        <v>0</v>
      </c>
      <c r="X38" s="122">
        <f t="shared" si="14"/>
        <v>110.21</v>
      </c>
      <c r="Y38" s="122">
        <f t="shared" si="14"/>
        <v>0</v>
      </c>
      <c r="Z38" s="122">
        <f t="shared" si="14"/>
        <v>45.05</v>
      </c>
      <c r="AA38" s="122">
        <f t="shared" si="14"/>
        <v>0</v>
      </c>
      <c r="AB38" s="122">
        <f t="shared" si="14"/>
        <v>62.94597</v>
      </c>
      <c r="AC38" s="122">
        <f t="shared" si="14"/>
        <v>0</v>
      </c>
      <c r="AD38" s="122">
        <f t="shared" si="14"/>
        <v>0</v>
      </c>
      <c r="AE38" s="122">
        <f t="shared" si="14"/>
        <v>0</v>
      </c>
      <c r="AF38" s="114"/>
      <c r="AH38" s="97"/>
    </row>
    <row r="39" spans="1:34" s="18" customFormat="1" ht="18.75">
      <c r="A39" s="115" t="s">
        <v>25</v>
      </c>
      <c r="B39" s="122">
        <f>B16+B20+B24+B27+B30+B33+B36</f>
        <v>8644.3</v>
      </c>
      <c r="C39" s="122">
        <f>C16+C20+C24+C27+C30+C33+C36</f>
        <v>3515.8919999999994</v>
      </c>
      <c r="D39" s="122">
        <f>D16+D20+D24+D27+D30+D33+D36</f>
        <v>3515.8919999999994</v>
      </c>
      <c r="E39" s="122">
        <f>E16+E20+E24+E27+E30+E33+E36</f>
        <v>2908.4570700000004</v>
      </c>
      <c r="F39" s="127">
        <f>E39/B39</f>
        <v>0.3364595247735503</v>
      </c>
      <c r="G39" s="127">
        <f>E39/C39</f>
        <v>0.8272316299818085</v>
      </c>
      <c r="H39" s="122">
        <f aca="true" t="shared" si="15" ref="H39:AE39">H16+H20+H24+H27+H30+H33+H36</f>
        <v>0</v>
      </c>
      <c r="I39" s="122">
        <f t="shared" si="15"/>
        <v>0</v>
      </c>
      <c r="J39" s="122">
        <f t="shared" si="15"/>
        <v>214.58299999999997</v>
      </c>
      <c r="K39" s="122">
        <f t="shared" si="15"/>
        <v>58.594550000000005</v>
      </c>
      <c r="L39" s="122">
        <f t="shared" si="15"/>
        <v>130.023</v>
      </c>
      <c r="M39" s="122">
        <f t="shared" si="15"/>
        <v>252.17999999999998</v>
      </c>
      <c r="N39" s="122">
        <f>N16+N20+N24+N27+N30+N33+N36</f>
        <v>457.304</v>
      </c>
      <c r="O39" s="122">
        <f t="shared" si="15"/>
        <v>453.34</v>
      </c>
      <c r="P39" s="122">
        <f t="shared" si="15"/>
        <v>343.342</v>
      </c>
      <c r="Q39" s="122">
        <f t="shared" si="15"/>
        <v>263.82</v>
      </c>
      <c r="R39" s="122">
        <f t="shared" si="15"/>
        <v>2370.64</v>
      </c>
      <c r="S39" s="122">
        <f t="shared" si="15"/>
        <v>1880.5225200000002</v>
      </c>
      <c r="T39" s="122">
        <f t="shared" si="15"/>
        <v>2361.27</v>
      </c>
      <c r="U39" s="122">
        <f t="shared" si="15"/>
        <v>0</v>
      </c>
      <c r="V39" s="122">
        <f t="shared" si="15"/>
        <v>2370.6099999999997</v>
      </c>
      <c r="W39" s="122">
        <f t="shared" si="15"/>
        <v>0</v>
      </c>
      <c r="X39" s="122">
        <f t="shared" si="15"/>
        <v>141.68200000000002</v>
      </c>
      <c r="Y39" s="122">
        <f t="shared" si="15"/>
        <v>0</v>
      </c>
      <c r="Z39" s="122">
        <f t="shared" si="15"/>
        <v>104.202</v>
      </c>
      <c r="AA39" s="122">
        <f t="shared" si="15"/>
        <v>0</v>
      </c>
      <c r="AB39" s="122">
        <f t="shared" si="15"/>
        <v>150.644</v>
      </c>
      <c r="AC39" s="122">
        <f t="shared" si="15"/>
        <v>0</v>
      </c>
      <c r="AD39" s="122">
        <f t="shared" si="15"/>
        <v>0</v>
      </c>
      <c r="AE39" s="122">
        <f t="shared" si="15"/>
        <v>0</v>
      </c>
      <c r="AF39" s="114"/>
      <c r="AH39" s="97"/>
    </row>
    <row r="40" spans="1:34" s="18" customFormat="1" ht="78" customHeight="1">
      <c r="A40" s="45" t="s">
        <v>162</v>
      </c>
      <c r="B40" s="118"/>
      <c r="C40" s="120"/>
      <c r="D40" s="120"/>
      <c r="E40" s="120"/>
      <c r="F40" s="125"/>
      <c r="G40" s="125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93" t="s">
        <v>195</v>
      </c>
      <c r="AH40" s="97"/>
    </row>
    <row r="41" spans="1:34" s="18" customFormat="1" ht="18.75">
      <c r="A41" s="108" t="s">
        <v>32</v>
      </c>
      <c r="B41" s="116">
        <f aca="true" t="shared" si="16" ref="B41:AE41">B42</f>
        <v>8524.3</v>
      </c>
      <c r="C41" s="116">
        <f t="shared" si="16"/>
        <v>3603.2462</v>
      </c>
      <c r="D41" s="116">
        <f>D42</f>
        <v>8524.3</v>
      </c>
      <c r="E41" s="116">
        <f t="shared" si="16"/>
        <v>2641.5099999999998</v>
      </c>
      <c r="F41" s="123">
        <f>E41/B41</f>
        <v>0.3098799901458184</v>
      </c>
      <c r="G41" s="123">
        <f>E41/C41</f>
        <v>0.7330917326715004</v>
      </c>
      <c r="H41" s="117">
        <f t="shared" si="16"/>
        <v>0</v>
      </c>
      <c r="I41" s="117">
        <f t="shared" si="16"/>
        <v>0</v>
      </c>
      <c r="J41" s="117">
        <f t="shared" si="16"/>
        <v>203.24620000000002</v>
      </c>
      <c r="K41" s="117">
        <f t="shared" si="16"/>
        <v>155.3</v>
      </c>
      <c r="L41" s="117">
        <f t="shared" si="16"/>
        <v>800</v>
      </c>
      <c r="M41" s="117">
        <f t="shared" si="16"/>
        <v>531.25</v>
      </c>
      <c r="N41" s="117">
        <f t="shared" si="16"/>
        <v>800</v>
      </c>
      <c r="O41" s="117">
        <f t="shared" si="16"/>
        <v>625.86</v>
      </c>
      <c r="P41" s="117">
        <f t="shared" si="16"/>
        <v>800</v>
      </c>
      <c r="Q41" s="117">
        <f t="shared" si="16"/>
        <v>635.6</v>
      </c>
      <c r="R41" s="117">
        <f t="shared" si="16"/>
        <v>1000</v>
      </c>
      <c r="S41" s="117">
        <f t="shared" si="16"/>
        <v>693.5</v>
      </c>
      <c r="T41" s="117">
        <f t="shared" si="16"/>
        <v>800</v>
      </c>
      <c r="U41" s="117">
        <f t="shared" si="16"/>
        <v>0</v>
      </c>
      <c r="V41" s="117">
        <f t="shared" si="16"/>
        <v>800</v>
      </c>
      <c r="W41" s="117">
        <f t="shared" si="16"/>
        <v>0</v>
      </c>
      <c r="X41" s="117">
        <f t="shared" si="16"/>
        <v>700</v>
      </c>
      <c r="Y41" s="117">
        <f t="shared" si="16"/>
        <v>0</v>
      </c>
      <c r="Z41" s="117">
        <f t="shared" si="16"/>
        <v>900</v>
      </c>
      <c r="AA41" s="117">
        <f t="shared" si="16"/>
        <v>0</v>
      </c>
      <c r="AB41" s="117">
        <f t="shared" si="16"/>
        <v>900</v>
      </c>
      <c r="AC41" s="117">
        <f t="shared" si="16"/>
        <v>0</v>
      </c>
      <c r="AD41" s="117">
        <f t="shared" si="16"/>
        <v>821.0538</v>
      </c>
      <c r="AE41" s="117">
        <f t="shared" si="16"/>
        <v>0</v>
      </c>
      <c r="AF41" s="194"/>
      <c r="AH41" s="97"/>
    </row>
    <row r="42" spans="1:34" s="143" customFormat="1" ht="137.25" customHeight="1">
      <c r="A42" s="167" t="s">
        <v>25</v>
      </c>
      <c r="B42" s="133">
        <f>H42+J42+L42+N42+P42+R42+T42+V42+X42+Z42+AB42+AD42</f>
        <v>8524.3</v>
      </c>
      <c r="C42" s="134">
        <f>H42+J42+L42+N42+P42+R42</f>
        <v>3603.2462</v>
      </c>
      <c r="D42" s="134">
        <v>8524.3</v>
      </c>
      <c r="E42" s="134">
        <f>I42+K42+M42+O42+Q42+S42+U42+W42+Y42+AA42+AC42+AE42</f>
        <v>2641.5099999999998</v>
      </c>
      <c r="F42" s="181">
        <f>E42/B42</f>
        <v>0.3098799901458184</v>
      </c>
      <c r="G42" s="181">
        <f>E42/C42</f>
        <v>0.7330917326715004</v>
      </c>
      <c r="H42" s="134">
        <v>0</v>
      </c>
      <c r="I42" s="134">
        <v>0</v>
      </c>
      <c r="J42" s="134">
        <f>203246.2/1000</f>
        <v>203.24620000000002</v>
      </c>
      <c r="K42" s="134">
        <v>155.3</v>
      </c>
      <c r="L42" s="134">
        <f>800000/1000</f>
        <v>800</v>
      </c>
      <c r="M42" s="134">
        <v>531.25</v>
      </c>
      <c r="N42" s="134">
        <f>800000/1000</f>
        <v>800</v>
      </c>
      <c r="O42" s="134">
        <v>625.86</v>
      </c>
      <c r="P42" s="134">
        <f>800000/1000</f>
        <v>800</v>
      </c>
      <c r="Q42" s="134">
        <v>635.6</v>
      </c>
      <c r="R42" s="134">
        <f>1000000/1000</f>
        <v>1000</v>
      </c>
      <c r="S42" s="134">
        <v>693.5</v>
      </c>
      <c r="T42" s="134">
        <f>800000/1000</f>
        <v>800</v>
      </c>
      <c r="U42" s="134"/>
      <c r="V42" s="134">
        <f>800000/1000</f>
        <v>800</v>
      </c>
      <c r="W42" s="134"/>
      <c r="X42" s="134">
        <f>700000/1000</f>
        <v>700</v>
      </c>
      <c r="Y42" s="134"/>
      <c r="Z42" s="134">
        <f>900000/1000</f>
        <v>900</v>
      </c>
      <c r="AA42" s="134"/>
      <c r="AB42" s="134">
        <f>900000/1000</f>
        <v>900</v>
      </c>
      <c r="AC42" s="134"/>
      <c r="AD42" s="134">
        <f>821053.8/1000</f>
        <v>821.0538</v>
      </c>
      <c r="AE42" s="134"/>
      <c r="AF42" s="195"/>
      <c r="AH42" s="144"/>
    </row>
    <row r="43" spans="1:34" s="18" customFormat="1" ht="70.5" customHeight="1">
      <c r="A43" s="45" t="s">
        <v>172</v>
      </c>
      <c r="B43" s="118"/>
      <c r="C43" s="120"/>
      <c r="D43" s="120"/>
      <c r="E43" s="120"/>
      <c r="F43" s="125"/>
      <c r="G43" s="125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48"/>
      <c r="AH43" s="97"/>
    </row>
    <row r="44" spans="1:34" s="18" customFormat="1" ht="18.75">
      <c r="A44" s="108" t="s">
        <v>32</v>
      </c>
      <c r="B44" s="116">
        <f>B45</f>
        <v>0</v>
      </c>
      <c r="C44" s="116">
        <f>C45</f>
        <v>0</v>
      </c>
      <c r="D44" s="116">
        <f>D45</f>
        <v>0</v>
      </c>
      <c r="E44" s="116">
        <f>E45</f>
        <v>0</v>
      </c>
      <c r="F44" s="123">
        <v>0</v>
      </c>
      <c r="G44" s="123">
        <v>0</v>
      </c>
      <c r="H44" s="116">
        <f aca="true" t="shared" si="17" ref="H44:AE44">H45</f>
        <v>0</v>
      </c>
      <c r="I44" s="116">
        <f t="shared" si="17"/>
        <v>0</v>
      </c>
      <c r="J44" s="116">
        <f t="shared" si="17"/>
        <v>0</v>
      </c>
      <c r="K44" s="116">
        <f t="shared" si="17"/>
        <v>0</v>
      </c>
      <c r="L44" s="116">
        <f t="shared" si="17"/>
        <v>0</v>
      </c>
      <c r="M44" s="116">
        <f t="shared" si="17"/>
        <v>0</v>
      </c>
      <c r="N44" s="116">
        <f t="shared" si="17"/>
        <v>0</v>
      </c>
      <c r="O44" s="116">
        <f t="shared" si="17"/>
        <v>0</v>
      </c>
      <c r="P44" s="116">
        <f t="shared" si="17"/>
        <v>0</v>
      </c>
      <c r="Q44" s="116">
        <f t="shared" si="17"/>
        <v>0</v>
      </c>
      <c r="R44" s="116">
        <f t="shared" si="17"/>
        <v>0</v>
      </c>
      <c r="S44" s="116">
        <f t="shared" si="17"/>
        <v>0</v>
      </c>
      <c r="T44" s="116">
        <f t="shared" si="17"/>
        <v>0</v>
      </c>
      <c r="U44" s="116">
        <f t="shared" si="17"/>
        <v>0</v>
      </c>
      <c r="V44" s="116">
        <f t="shared" si="17"/>
        <v>0</v>
      </c>
      <c r="W44" s="116">
        <f t="shared" si="17"/>
        <v>0</v>
      </c>
      <c r="X44" s="116">
        <f t="shared" si="17"/>
        <v>0</v>
      </c>
      <c r="Y44" s="116">
        <f t="shared" si="17"/>
        <v>0</v>
      </c>
      <c r="Z44" s="116">
        <f t="shared" si="17"/>
        <v>0</v>
      </c>
      <c r="AA44" s="116">
        <f t="shared" si="17"/>
        <v>0</v>
      </c>
      <c r="AB44" s="116">
        <f t="shared" si="17"/>
        <v>0</v>
      </c>
      <c r="AC44" s="116">
        <f t="shared" si="17"/>
        <v>0</v>
      </c>
      <c r="AD44" s="116">
        <f t="shared" si="17"/>
        <v>0</v>
      </c>
      <c r="AE44" s="116">
        <f t="shared" si="17"/>
        <v>0</v>
      </c>
      <c r="AF44" s="110"/>
      <c r="AH44" s="97"/>
    </row>
    <row r="45" spans="1:34" s="136" customFormat="1" ht="18.75">
      <c r="A45" s="132" t="s">
        <v>150</v>
      </c>
      <c r="B45" s="133">
        <f>H45+J45+L45+N45+P45+R45+T45+V45+X45+Z45+AB45+AD45</f>
        <v>0</v>
      </c>
      <c r="C45" s="134">
        <f>H45+J45+L45+N45+P45+R45</f>
        <v>0</v>
      </c>
      <c r="D45" s="134"/>
      <c r="E45" s="134">
        <f>I45+K45+M45+O45+Q45+S45+U45+W45+Y45+AA45+AC45+AE45</f>
        <v>0</v>
      </c>
      <c r="F45" s="135">
        <v>0</v>
      </c>
      <c r="G45" s="135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/>
      <c r="S45" s="134">
        <v>0</v>
      </c>
      <c r="T45" s="134">
        <v>0</v>
      </c>
      <c r="U45" s="134"/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45"/>
      <c r="AH45" s="137"/>
    </row>
    <row r="46" spans="1:34" s="18" customFormat="1" ht="75">
      <c r="A46" s="45" t="s">
        <v>163</v>
      </c>
      <c r="B46" s="118"/>
      <c r="C46" s="120"/>
      <c r="D46" s="120"/>
      <c r="E46" s="120"/>
      <c r="F46" s="125"/>
      <c r="G46" s="125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12"/>
      <c r="AH46" s="97"/>
    </row>
    <row r="47" spans="1:34" s="18" customFormat="1" ht="18.75">
      <c r="A47" s="108" t="s">
        <v>32</v>
      </c>
      <c r="B47" s="116">
        <f>B48</f>
        <v>0</v>
      </c>
      <c r="C47" s="116">
        <f>C48</f>
        <v>0</v>
      </c>
      <c r="D47" s="116">
        <f>D48</f>
        <v>0</v>
      </c>
      <c r="E47" s="116">
        <f aca="true" t="shared" si="18" ref="E47:AE47">E48</f>
        <v>0</v>
      </c>
      <c r="F47" s="123">
        <f t="shared" si="18"/>
        <v>0</v>
      </c>
      <c r="G47" s="123">
        <v>0</v>
      </c>
      <c r="H47" s="116">
        <f t="shared" si="18"/>
        <v>0</v>
      </c>
      <c r="I47" s="116">
        <f t="shared" si="18"/>
        <v>0</v>
      </c>
      <c r="J47" s="116">
        <f t="shared" si="18"/>
        <v>0</v>
      </c>
      <c r="K47" s="116">
        <f t="shared" si="18"/>
        <v>0</v>
      </c>
      <c r="L47" s="116">
        <f t="shared" si="18"/>
        <v>0</v>
      </c>
      <c r="M47" s="116">
        <f t="shared" si="18"/>
        <v>0</v>
      </c>
      <c r="N47" s="116">
        <f t="shared" si="18"/>
        <v>0</v>
      </c>
      <c r="O47" s="116">
        <f t="shared" si="18"/>
        <v>0</v>
      </c>
      <c r="P47" s="116">
        <f t="shared" si="18"/>
        <v>0</v>
      </c>
      <c r="Q47" s="116">
        <f t="shared" si="18"/>
        <v>0</v>
      </c>
      <c r="R47" s="116">
        <f t="shared" si="18"/>
        <v>0</v>
      </c>
      <c r="S47" s="116">
        <f t="shared" si="18"/>
        <v>0</v>
      </c>
      <c r="T47" s="116">
        <f t="shared" si="18"/>
        <v>0</v>
      </c>
      <c r="U47" s="116">
        <f t="shared" si="18"/>
        <v>0</v>
      </c>
      <c r="V47" s="116">
        <f t="shared" si="18"/>
        <v>0</v>
      </c>
      <c r="W47" s="116">
        <f t="shared" si="18"/>
        <v>0</v>
      </c>
      <c r="X47" s="116">
        <f t="shared" si="18"/>
        <v>0</v>
      </c>
      <c r="Y47" s="116">
        <f t="shared" si="18"/>
        <v>0</v>
      </c>
      <c r="Z47" s="116">
        <f t="shared" si="18"/>
        <v>0</v>
      </c>
      <c r="AA47" s="116">
        <f t="shared" si="18"/>
        <v>0</v>
      </c>
      <c r="AB47" s="116">
        <f t="shared" si="18"/>
        <v>0</v>
      </c>
      <c r="AC47" s="116">
        <f t="shared" si="18"/>
        <v>0</v>
      </c>
      <c r="AD47" s="116">
        <f t="shared" si="18"/>
        <v>0</v>
      </c>
      <c r="AE47" s="116">
        <f t="shared" si="18"/>
        <v>0</v>
      </c>
      <c r="AF47" s="110"/>
      <c r="AH47" s="97"/>
    </row>
    <row r="48" spans="1:34" s="136" customFormat="1" ht="18.75">
      <c r="A48" s="132" t="s">
        <v>24</v>
      </c>
      <c r="B48" s="133">
        <f>H48+J48+L48+N48+P48+R48+T48+V48+X48+Z48+AB48+AD48</f>
        <v>0</v>
      </c>
      <c r="C48" s="134">
        <f>H48+J48+L48+N48+P48+R48</f>
        <v>0</v>
      </c>
      <c r="D48" s="134">
        <f>H48+J48+L48+N48+P48+R48+T48+V48</f>
        <v>0</v>
      </c>
      <c r="E48" s="134">
        <f>I48+K48+M48+O48+Q48+S48+U48+W48+Y48+AA48+AC48+AE48</f>
        <v>0</v>
      </c>
      <c r="F48" s="135">
        <v>0</v>
      </c>
      <c r="G48" s="135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45"/>
      <c r="AH48" s="137"/>
    </row>
    <row r="49" spans="1:34" s="18" customFormat="1" ht="57" customHeight="1">
      <c r="A49" s="168" t="s">
        <v>164</v>
      </c>
      <c r="B49" s="159">
        <f>B50+B56</f>
        <v>2997.4010000000003</v>
      </c>
      <c r="C49" s="159">
        <f>C50+C56</f>
        <v>1916.0095299999998</v>
      </c>
      <c r="D49" s="159">
        <f>D50+D56</f>
        <v>1772.2</v>
      </c>
      <c r="E49" s="159">
        <f>E50+E56</f>
        <v>1644.95639</v>
      </c>
      <c r="F49" s="160">
        <f>E49/B49</f>
        <v>0.54879423540594</v>
      </c>
      <c r="G49" s="160">
        <f>E49/C49</f>
        <v>0.858532467737778</v>
      </c>
      <c r="H49" s="159">
        <f aca="true" t="shared" si="19" ref="H49:AE49">H50+H56</f>
        <v>562.959</v>
      </c>
      <c r="I49" s="159">
        <f t="shared" si="19"/>
        <v>425.15626000000003</v>
      </c>
      <c r="J49" s="159">
        <f t="shared" si="19"/>
        <v>233.692</v>
      </c>
      <c r="K49" s="159">
        <f t="shared" si="19"/>
        <v>182.91031</v>
      </c>
      <c r="L49" s="159">
        <f t="shared" si="19"/>
        <v>113.63105999999999</v>
      </c>
      <c r="M49" s="159">
        <f t="shared" si="19"/>
        <v>106.45214</v>
      </c>
      <c r="N49" s="159">
        <f t="shared" si="19"/>
        <v>275.87657</v>
      </c>
      <c r="O49" s="159">
        <f t="shared" si="19"/>
        <v>219.29763</v>
      </c>
      <c r="P49" s="159">
        <f t="shared" si="19"/>
        <v>352.647</v>
      </c>
      <c r="Q49" s="159">
        <f t="shared" si="19"/>
        <v>250.82004999999998</v>
      </c>
      <c r="R49" s="159">
        <f t="shared" si="19"/>
        <v>377.20390000000003</v>
      </c>
      <c r="S49" s="159">
        <f t="shared" si="19"/>
        <v>460.32</v>
      </c>
      <c r="T49" s="159">
        <f t="shared" si="19"/>
        <v>226.60623999999999</v>
      </c>
      <c r="U49" s="159">
        <f t="shared" si="19"/>
        <v>0</v>
      </c>
      <c r="V49" s="159">
        <f t="shared" si="19"/>
        <v>214.909</v>
      </c>
      <c r="W49" s="159">
        <f t="shared" si="19"/>
        <v>0</v>
      </c>
      <c r="X49" s="159">
        <f t="shared" si="19"/>
        <v>75.13</v>
      </c>
      <c r="Y49" s="159">
        <f t="shared" si="19"/>
        <v>0</v>
      </c>
      <c r="Z49" s="159">
        <f t="shared" si="19"/>
        <v>190.98757</v>
      </c>
      <c r="AA49" s="159">
        <f t="shared" si="19"/>
        <v>0</v>
      </c>
      <c r="AB49" s="159">
        <f t="shared" si="19"/>
        <v>98.17447</v>
      </c>
      <c r="AC49" s="159">
        <f t="shared" si="19"/>
        <v>0</v>
      </c>
      <c r="AD49" s="159">
        <f t="shared" si="19"/>
        <v>275.58419</v>
      </c>
      <c r="AE49" s="159">
        <f t="shared" si="19"/>
        <v>0</v>
      </c>
      <c r="AF49" s="170"/>
      <c r="AH49" s="97"/>
    </row>
    <row r="50" spans="1:34" s="18" customFormat="1" ht="75.75" customHeight="1">
      <c r="A50" s="156" t="s">
        <v>165</v>
      </c>
      <c r="B50" s="157">
        <f>B51</f>
        <v>2984.601</v>
      </c>
      <c r="C50" s="157">
        <f aca="true" t="shared" si="20" ref="C50:AE51">C51</f>
        <v>1903.2095299999999</v>
      </c>
      <c r="D50" s="157">
        <f>D51</f>
        <v>1772.2</v>
      </c>
      <c r="E50" s="157">
        <f t="shared" si="20"/>
        <v>1644.95639</v>
      </c>
      <c r="F50" s="171">
        <f t="shared" si="20"/>
        <v>0.551147838521799</v>
      </c>
      <c r="G50" s="171">
        <f t="shared" si="20"/>
        <v>0.8643065117480786</v>
      </c>
      <c r="H50" s="157">
        <f t="shared" si="20"/>
        <v>562.959</v>
      </c>
      <c r="I50" s="157">
        <f t="shared" si="20"/>
        <v>425.15626000000003</v>
      </c>
      <c r="J50" s="157">
        <f t="shared" si="20"/>
        <v>233.692</v>
      </c>
      <c r="K50" s="157">
        <f t="shared" si="20"/>
        <v>182.91031</v>
      </c>
      <c r="L50" s="157">
        <f t="shared" si="20"/>
        <v>113.63105999999999</v>
      </c>
      <c r="M50" s="157">
        <f t="shared" si="20"/>
        <v>106.45214</v>
      </c>
      <c r="N50" s="157">
        <f t="shared" si="20"/>
        <v>275.87657</v>
      </c>
      <c r="O50" s="157">
        <f t="shared" si="20"/>
        <v>219.29763</v>
      </c>
      <c r="P50" s="157">
        <f t="shared" si="20"/>
        <v>339.847</v>
      </c>
      <c r="Q50" s="157">
        <f t="shared" si="20"/>
        <v>250.82004999999998</v>
      </c>
      <c r="R50" s="157">
        <f t="shared" si="20"/>
        <v>377.20390000000003</v>
      </c>
      <c r="S50" s="157">
        <f t="shared" si="20"/>
        <v>460.32</v>
      </c>
      <c r="T50" s="157">
        <f t="shared" si="20"/>
        <v>226.60623999999999</v>
      </c>
      <c r="U50" s="157">
        <f t="shared" si="20"/>
        <v>0</v>
      </c>
      <c r="V50" s="157">
        <f t="shared" si="20"/>
        <v>214.909</v>
      </c>
      <c r="W50" s="157">
        <f t="shared" si="20"/>
        <v>0</v>
      </c>
      <c r="X50" s="157">
        <f t="shared" si="20"/>
        <v>75.13</v>
      </c>
      <c r="Y50" s="157">
        <f t="shared" si="20"/>
        <v>0</v>
      </c>
      <c r="Z50" s="157">
        <f t="shared" si="20"/>
        <v>190.98757</v>
      </c>
      <c r="AA50" s="157">
        <f t="shared" si="20"/>
        <v>0</v>
      </c>
      <c r="AB50" s="157">
        <f t="shared" si="20"/>
        <v>98.17447</v>
      </c>
      <c r="AC50" s="157">
        <f t="shared" si="20"/>
        <v>0</v>
      </c>
      <c r="AD50" s="157">
        <f t="shared" si="20"/>
        <v>275.58419</v>
      </c>
      <c r="AE50" s="157">
        <f t="shared" si="20"/>
        <v>0</v>
      </c>
      <c r="AF50" s="158"/>
      <c r="AH50" s="97"/>
    </row>
    <row r="51" spans="1:34" s="18" customFormat="1" ht="24" customHeight="1">
      <c r="A51" s="155" t="s">
        <v>32</v>
      </c>
      <c r="B51" s="157">
        <f>B52</f>
        <v>2984.601</v>
      </c>
      <c r="C51" s="157">
        <f t="shared" si="20"/>
        <v>1903.2095299999999</v>
      </c>
      <c r="D51" s="157">
        <f>D52</f>
        <v>1772.2</v>
      </c>
      <c r="E51" s="157">
        <f t="shared" si="20"/>
        <v>1644.95639</v>
      </c>
      <c r="F51" s="171">
        <f t="shared" si="20"/>
        <v>0.551147838521799</v>
      </c>
      <c r="G51" s="171">
        <f t="shared" si="20"/>
        <v>0.8643065117480786</v>
      </c>
      <c r="H51" s="157">
        <f t="shared" si="20"/>
        <v>562.959</v>
      </c>
      <c r="I51" s="157">
        <f t="shared" si="20"/>
        <v>425.15626000000003</v>
      </c>
      <c r="J51" s="157">
        <f t="shared" si="20"/>
        <v>233.692</v>
      </c>
      <c r="K51" s="157">
        <f t="shared" si="20"/>
        <v>182.91031</v>
      </c>
      <c r="L51" s="157">
        <f t="shared" si="20"/>
        <v>113.63105999999999</v>
      </c>
      <c r="M51" s="157">
        <f t="shared" si="20"/>
        <v>106.45214</v>
      </c>
      <c r="N51" s="157">
        <f t="shared" si="20"/>
        <v>275.87657</v>
      </c>
      <c r="O51" s="157">
        <f t="shared" si="20"/>
        <v>219.29763</v>
      </c>
      <c r="P51" s="157">
        <f t="shared" si="20"/>
        <v>339.847</v>
      </c>
      <c r="Q51" s="157">
        <f t="shared" si="20"/>
        <v>250.82004999999998</v>
      </c>
      <c r="R51" s="157">
        <f t="shared" si="20"/>
        <v>377.20390000000003</v>
      </c>
      <c r="S51" s="157">
        <f t="shared" si="20"/>
        <v>460.32</v>
      </c>
      <c r="T51" s="157">
        <f t="shared" si="20"/>
        <v>226.60623999999999</v>
      </c>
      <c r="U51" s="157">
        <f t="shared" si="20"/>
        <v>0</v>
      </c>
      <c r="V51" s="157">
        <f t="shared" si="20"/>
        <v>214.909</v>
      </c>
      <c r="W51" s="157">
        <f t="shared" si="20"/>
        <v>0</v>
      </c>
      <c r="X51" s="157">
        <f t="shared" si="20"/>
        <v>75.13</v>
      </c>
      <c r="Y51" s="157">
        <f t="shared" si="20"/>
        <v>0</v>
      </c>
      <c r="Z51" s="157">
        <f t="shared" si="20"/>
        <v>190.98757</v>
      </c>
      <c r="AA51" s="157">
        <f t="shared" si="20"/>
        <v>0</v>
      </c>
      <c r="AB51" s="157">
        <f t="shared" si="20"/>
        <v>98.17447</v>
      </c>
      <c r="AC51" s="157">
        <f t="shared" si="20"/>
        <v>0</v>
      </c>
      <c r="AD51" s="157">
        <f t="shared" si="20"/>
        <v>275.58419</v>
      </c>
      <c r="AE51" s="157">
        <f t="shared" si="20"/>
        <v>0</v>
      </c>
      <c r="AF51" s="158"/>
      <c r="AH51" s="97"/>
    </row>
    <row r="52" spans="1:34" s="18" customFormat="1" ht="25.5" customHeight="1">
      <c r="A52" s="155" t="s">
        <v>24</v>
      </c>
      <c r="B52" s="157">
        <f>B54</f>
        <v>2984.601</v>
      </c>
      <c r="C52" s="157">
        <f aca="true" t="shared" si="21" ref="C52:AE52">C54</f>
        <v>1903.2095299999999</v>
      </c>
      <c r="D52" s="157">
        <f>D54</f>
        <v>1772.2</v>
      </c>
      <c r="E52" s="157">
        <f t="shared" si="21"/>
        <v>1644.95639</v>
      </c>
      <c r="F52" s="171">
        <f t="shared" si="21"/>
        <v>0.551147838521799</v>
      </c>
      <c r="G52" s="171">
        <f t="shared" si="21"/>
        <v>0.8643065117480786</v>
      </c>
      <c r="H52" s="157">
        <f t="shared" si="21"/>
        <v>562.959</v>
      </c>
      <c r="I52" s="157">
        <f t="shared" si="21"/>
        <v>425.15626000000003</v>
      </c>
      <c r="J52" s="157">
        <f t="shared" si="21"/>
        <v>233.692</v>
      </c>
      <c r="K52" s="157">
        <f t="shared" si="21"/>
        <v>182.91031</v>
      </c>
      <c r="L52" s="157">
        <f t="shared" si="21"/>
        <v>113.63105999999999</v>
      </c>
      <c r="M52" s="157">
        <f t="shared" si="21"/>
        <v>106.45214</v>
      </c>
      <c r="N52" s="157">
        <f t="shared" si="21"/>
        <v>275.87657</v>
      </c>
      <c r="O52" s="157">
        <f t="shared" si="21"/>
        <v>219.29763</v>
      </c>
      <c r="P52" s="157">
        <f t="shared" si="21"/>
        <v>339.847</v>
      </c>
      <c r="Q52" s="157">
        <f t="shared" si="21"/>
        <v>250.82004999999998</v>
      </c>
      <c r="R52" s="157">
        <f t="shared" si="21"/>
        <v>377.20390000000003</v>
      </c>
      <c r="S52" s="157">
        <f t="shared" si="21"/>
        <v>460.32</v>
      </c>
      <c r="T52" s="157">
        <f t="shared" si="21"/>
        <v>226.60623999999999</v>
      </c>
      <c r="U52" s="157">
        <f t="shared" si="21"/>
        <v>0</v>
      </c>
      <c r="V52" s="157">
        <f t="shared" si="21"/>
        <v>214.909</v>
      </c>
      <c r="W52" s="157">
        <f t="shared" si="21"/>
        <v>0</v>
      </c>
      <c r="X52" s="157">
        <f t="shared" si="21"/>
        <v>75.13</v>
      </c>
      <c r="Y52" s="157">
        <f t="shared" si="21"/>
        <v>0</v>
      </c>
      <c r="Z52" s="157">
        <f t="shared" si="21"/>
        <v>190.98757</v>
      </c>
      <c r="AA52" s="157">
        <f t="shared" si="21"/>
        <v>0</v>
      </c>
      <c r="AB52" s="157">
        <f t="shared" si="21"/>
        <v>98.17447</v>
      </c>
      <c r="AC52" s="157">
        <f t="shared" si="21"/>
        <v>0</v>
      </c>
      <c r="AD52" s="157">
        <f t="shared" si="21"/>
        <v>275.58419</v>
      </c>
      <c r="AE52" s="157">
        <f t="shared" si="21"/>
        <v>0</v>
      </c>
      <c r="AF52" s="158"/>
      <c r="AH52" s="97"/>
    </row>
    <row r="53" spans="1:34" s="18" customFormat="1" ht="164.25" customHeight="1">
      <c r="A53" s="104" t="s">
        <v>173</v>
      </c>
      <c r="B53" s="118"/>
      <c r="C53" s="120"/>
      <c r="D53" s="120"/>
      <c r="E53" s="120"/>
      <c r="F53" s="125"/>
      <c r="G53" s="125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12" t="s">
        <v>196</v>
      </c>
      <c r="AH53" s="97"/>
    </row>
    <row r="54" spans="1:34" s="18" customFormat="1" ht="18.75">
      <c r="A54" s="108" t="s">
        <v>32</v>
      </c>
      <c r="B54" s="116">
        <f>B55</f>
        <v>2984.601</v>
      </c>
      <c r="C54" s="116">
        <f>C55</f>
        <v>1903.2095299999999</v>
      </c>
      <c r="D54" s="116">
        <f>D55</f>
        <v>1772.2</v>
      </c>
      <c r="E54" s="116">
        <f>E55</f>
        <v>1644.95639</v>
      </c>
      <c r="F54" s="123">
        <f>E54/B54</f>
        <v>0.551147838521799</v>
      </c>
      <c r="G54" s="123">
        <f>E54/C54</f>
        <v>0.8643065117480786</v>
      </c>
      <c r="H54" s="116">
        <f aca="true" t="shared" si="22" ref="H54:AE54">H55</f>
        <v>562.959</v>
      </c>
      <c r="I54" s="116">
        <f t="shared" si="22"/>
        <v>425.15626000000003</v>
      </c>
      <c r="J54" s="116">
        <f t="shared" si="22"/>
        <v>233.692</v>
      </c>
      <c r="K54" s="116">
        <f t="shared" si="22"/>
        <v>182.91031</v>
      </c>
      <c r="L54" s="116">
        <f t="shared" si="22"/>
        <v>113.63105999999999</v>
      </c>
      <c r="M54" s="116">
        <f t="shared" si="22"/>
        <v>106.45214</v>
      </c>
      <c r="N54" s="116">
        <f t="shared" si="22"/>
        <v>275.87657</v>
      </c>
      <c r="O54" s="116">
        <f t="shared" si="22"/>
        <v>219.29763</v>
      </c>
      <c r="P54" s="116">
        <f t="shared" si="22"/>
        <v>339.847</v>
      </c>
      <c r="Q54" s="116">
        <f t="shared" si="22"/>
        <v>250.82004999999998</v>
      </c>
      <c r="R54" s="116">
        <f t="shared" si="22"/>
        <v>377.20390000000003</v>
      </c>
      <c r="S54" s="116">
        <f t="shared" si="22"/>
        <v>460.32</v>
      </c>
      <c r="T54" s="116">
        <f t="shared" si="22"/>
        <v>226.60623999999999</v>
      </c>
      <c r="U54" s="116">
        <f t="shared" si="22"/>
        <v>0</v>
      </c>
      <c r="V54" s="116">
        <f t="shared" si="22"/>
        <v>214.909</v>
      </c>
      <c r="W54" s="116">
        <f t="shared" si="22"/>
        <v>0</v>
      </c>
      <c r="X54" s="116">
        <f t="shared" si="22"/>
        <v>75.13</v>
      </c>
      <c r="Y54" s="116">
        <f t="shared" si="22"/>
        <v>0</v>
      </c>
      <c r="Z54" s="116">
        <f t="shared" si="22"/>
        <v>190.98757</v>
      </c>
      <c r="AA54" s="116">
        <f t="shared" si="22"/>
        <v>0</v>
      </c>
      <c r="AB54" s="116">
        <f t="shared" si="22"/>
        <v>98.17447</v>
      </c>
      <c r="AC54" s="116">
        <f t="shared" si="22"/>
        <v>0</v>
      </c>
      <c r="AD54" s="116">
        <f t="shared" si="22"/>
        <v>275.58419</v>
      </c>
      <c r="AE54" s="116">
        <f t="shared" si="22"/>
        <v>0</v>
      </c>
      <c r="AF54" s="110"/>
      <c r="AH54" s="97"/>
    </row>
    <row r="55" spans="1:34" s="136" customFormat="1" ht="18.75">
      <c r="A55" s="132" t="s">
        <v>24</v>
      </c>
      <c r="B55" s="133">
        <f>H55+J55+L55+N55+P55+R55+T55+V55+X55+Z55+AB55+AD55</f>
        <v>2984.601</v>
      </c>
      <c r="C55" s="134">
        <f>H55+J55+L55+N55+P55+R55</f>
        <v>1903.2095299999999</v>
      </c>
      <c r="D55" s="133">
        <f>1772200/1000</f>
        <v>1772.2</v>
      </c>
      <c r="E55" s="134">
        <f>I55+K55+M55+O55+Q55+S55+U55+W55+Y55+AA55+AC55+AE55</f>
        <v>1644.95639</v>
      </c>
      <c r="F55" s="135">
        <f>E55/B55</f>
        <v>0.551147838521799</v>
      </c>
      <c r="G55" s="135">
        <f>E55/C55</f>
        <v>0.8643065117480786</v>
      </c>
      <c r="H55" s="134">
        <f>562959/1000</f>
        <v>562.959</v>
      </c>
      <c r="I55" s="134">
        <f>425156.26/1000</f>
        <v>425.15626000000003</v>
      </c>
      <c r="J55" s="182">
        <f>(229607+4085)/1000</f>
        <v>233.692</v>
      </c>
      <c r="K55" s="134">
        <f>(178825.31+4085)/1000</f>
        <v>182.91031</v>
      </c>
      <c r="L55" s="182">
        <f>(109546.06+4085)/1000</f>
        <v>113.63105999999999</v>
      </c>
      <c r="M55" s="134">
        <f>(102367.14+4085)/1000</f>
        <v>106.45214</v>
      </c>
      <c r="N55" s="183">
        <f>(271791.57+4085)/1000</f>
        <v>275.87657</v>
      </c>
      <c r="O55" s="134">
        <f>(215212.63+4085)/1000</f>
        <v>219.29763</v>
      </c>
      <c r="P55" s="182">
        <f>(335762+4085)/1000</f>
        <v>339.847</v>
      </c>
      <c r="Q55" s="134">
        <f>(246735.05+4085)/1000</f>
        <v>250.82004999999998</v>
      </c>
      <c r="R55" s="134">
        <f>377203.9/1000</f>
        <v>377.20390000000003</v>
      </c>
      <c r="S55" s="134">
        <v>460.32</v>
      </c>
      <c r="T55" s="134">
        <f>226606.24/1000</f>
        <v>226.60623999999999</v>
      </c>
      <c r="U55" s="134"/>
      <c r="V55" s="182">
        <f>(211447+3462)/1000</f>
        <v>214.909</v>
      </c>
      <c r="W55" s="134"/>
      <c r="X55" s="134">
        <f>(71668+3462)/1000</f>
        <v>75.13</v>
      </c>
      <c r="Y55" s="134"/>
      <c r="Z55" s="182">
        <f>(186902.57+4085)/1000</f>
        <v>190.98757</v>
      </c>
      <c r="AA55" s="134"/>
      <c r="AB55" s="182">
        <f>(94089.47+4085)/1000</f>
        <v>98.17447</v>
      </c>
      <c r="AC55" s="134"/>
      <c r="AD55" s="182">
        <f>(271488.19+4096)/1000</f>
        <v>275.58419</v>
      </c>
      <c r="AE55" s="134"/>
      <c r="AF55" s="146"/>
      <c r="AH55" s="137"/>
    </row>
    <row r="56" spans="1:34" s="18" customFormat="1" ht="37.5">
      <c r="A56" s="150" t="s">
        <v>166</v>
      </c>
      <c r="B56" s="163">
        <f>B57</f>
        <v>12.8</v>
      </c>
      <c r="C56" s="163">
        <f aca="true" t="shared" si="23" ref="C56:AE57">C57</f>
        <v>12.8</v>
      </c>
      <c r="D56" s="163">
        <f t="shared" si="23"/>
        <v>0</v>
      </c>
      <c r="E56" s="163">
        <f t="shared" si="23"/>
        <v>0</v>
      </c>
      <c r="F56" s="172">
        <v>0</v>
      </c>
      <c r="G56" s="172">
        <v>0</v>
      </c>
      <c r="H56" s="163">
        <f t="shared" si="23"/>
        <v>0</v>
      </c>
      <c r="I56" s="163">
        <f t="shared" si="23"/>
        <v>0</v>
      </c>
      <c r="J56" s="163">
        <f t="shared" si="23"/>
        <v>0</v>
      </c>
      <c r="K56" s="163">
        <f t="shared" si="23"/>
        <v>0</v>
      </c>
      <c r="L56" s="163">
        <f t="shared" si="23"/>
        <v>0</v>
      </c>
      <c r="M56" s="163">
        <f t="shared" si="23"/>
        <v>0</v>
      </c>
      <c r="N56" s="163">
        <f t="shared" si="23"/>
        <v>0</v>
      </c>
      <c r="O56" s="163">
        <f t="shared" si="23"/>
        <v>0</v>
      </c>
      <c r="P56" s="163">
        <f t="shared" si="23"/>
        <v>12.8</v>
      </c>
      <c r="Q56" s="163">
        <f t="shared" si="23"/>
        <v>0</v>
      </c>
      <c r="R56" s="163">
        <f t="shared" si="23"/>
        <v>0</v>
      </c>
      <c r="S56" s="163">
        <f t="shared" si="23"/>
        <v>0</v>
      </c>
      <c r="T56" s="163">
        <f t="shared" si="23"/>
        <v>0</v>
      </c>
      <c r="U56" s="163">
        <f t="shared" si="23"/>
        <v>0</v>
      </c>
      <c r="V56" s="163">
        <f t="shared" si="23"/>
        <v>0</v>
      </c>
      <c r="W56" s="163">
        <f t="shared" si="23"/>
        <v>0</v>
      </c>
      <c r="X56" s="163">
        <f t="shared" si="23"/>
        <v>0</v>
      </c>
      <c r="Y56" s="163">
        <f t="shared" si="23"/>
        <v>0</v>
      </c>
      <c r="Z56" s="163">
        <f t="shared" si="23"/>
        <v>0</v>
      </c>
      <c r="AA56" s="163">
        <f t="shared" si="23"/>
        <v>0</v>
      </c>
      <c r="AB56" s="163">
        <f t="shared" si="23"/>
        <v>0</v>
      </c>
      <c r="AC56" s="163">
        <f t="shared" si="23"/>
        <v>0</v>
      </c>
      <c r="AD56" s="163">
        <f t="shared" si="23"/>
        <v>0</v>
      </c>
      <c r="AE56" s="163">
        <f t="shared" si="23"/>
        <v>0</v>
      </c>
      <c r="AF56" s="164"/>
      <c r="AH56" s="97"/>
    </row>
    <row r="57" spans="1:34" s="18" customFormat="1" ht="18.75">
      <c r="A57" s="155" t="s">
        <v>32</v>
      </c>
      <c r="B57" s="163">
        <f>B58</f>
        <v>12.8</v>
      </c>
      <c r="C57" s="163">
        <f t="shared" si="23"/>
        <v>12.8</v>
      </c>
      <c r="D57" s="163">
        <f t="shared" si="23"/>
        <v>0</v>
      </c>
      <c r="E57" s="163">
        <f t="shared" si="23"/>
        <v>0</v>
      </c>
      <c r="F57" s="172">
        <v>0</v>
      </c>
      <c r="G57" s="172">
        <v>0</v>
      </c>
      <c r="H57" s="163">
        <f t="shared" si="23"/>
        <v>0</v>
      </c>
      <c r="I57" s="163">
        <f t="shared" si="23"/>
        <v>0</v>
      </c>
      <c r="J57" s="163">
        <f t="shared" si="23"/>
        <v>0</v>
      </c>
      <c r="K57" s="163">
        <f t="shared" si="23"/>
        <v>0</v>
      </c>
      <c r="L57" s="163">
        <f t="shared" si="23"/>
        <v>0</v>
      </c>
      <c r="M57" s="163">
        <f t="shared" si="23"/>
        <v>0</v>
      </c>
      <c r="N57" s="163">
        <f t="shared" si="23"/>
        <v>0</v>
      </c>
      <c r="O57" s="163">
        <f t="shared" si="23"/>
        <v>0</v>
      </c>
      <c r="P57" s="163">
        <f t="shared" si="23"/>
        <v>12.8</v>
      </c>
      <c r="Q57" s="163">
        <f t="shared" si="23"/>
        <v>0</v>
      </c>
      <c r="R57" s="163">
        <f t="shared" si="23"/>
        <v>0</v>
      </c>
      <c r="S57" s="163">
        <f t="shared" si="23"/>
        <v>0</v>
      </c>
      <c r="T57" s="163">
        <f t="shared" si="23"/>
        <v>0</v>
      </c>
      <c r="U57" s="163">
        <f t="shared" si="23"/>
        <v>0</v>
      </c>
      <c r="V57" s="163">
        <f t="shared" si="23"/>
        <v>0</v>
      </c>
      <c r="W57" s="163">
        <f t="shared" si="23"/>
        <v>0</v>
      </c>
      <c r="X57" s="163">
        <f t="shared" si="23"/>
        <v>0</v>
      </c>
      <c r="Y57" s="163">
        <f t="shared" si="23"/>
        <v>0</v>
      </c>
      <c r="Z57" s="163">
        <f t="shared" si="23"/>
        <v>0</v>
      </c>
      <c r="AA57" s="163">
        <f t="shared" si="23"/>
        <v>0</v>
      </c>
      <c r="AB57" s="163">
        <f t="shared" si="23"/>
        <v>0</v>
      </c>
      <c r="AC57" s="163">
        <f t="shared" si="23"/>
        <v>0</v>
      </c>
      <c r="AD57" s="163">
        <f t="shared" si="23"/>
        <v>0</v>
      </c>
      <c r="AE57" s="163">
        <f t="shared" si="23"/>
        <v>0</v>
      </c>
      <c r="AF57" s="164"/>
      <c r="AH57" s="97"/>
    </row>
    <row r="58" spans="1:34" s="18" customFormat="1" ht="18.75">
      <c r="A58" s="155" t="s">
        <v>25</v>
      </c>
      <c r="B58" s="163">
        <f>B61+B64+B67+B70+B73</f>
        <v>12.8</v>
      </c>
      <c r="C58" s="163">
        <f aca="true" t="shared" si="24" ref="C58:AE58">C61+C64+C67+C70+C73</f>
        <v>12.8</v>
      </c>
      <c r="D58" s="163">
        <f t="shared" si="24"/>
        <v>0</v>
      </c>
      <c r="E58" s="163">
        <f t="shared" si="24"/>
        <v>0</v>
      </c>
      <c r="F58" s="172">
        <v>0</v>
      </c>
      <c r="G58" s="172">
        <v>0</v>
      </c>
      <c r="H58" s="163">
        <f t="shared" si="24"/>
        <v>0</v>
      </c>
      <c r="I58" s="163">
        <f t="shared" si="24"/>
        <v>0</v>
      </c>
      <c r="J58" s="163">
        <f t="shared" si="24"/>
        <v>0</v>
      </c>
      <c r="K58" s="163">
        <f t="shared" si="24"/>
        <v>0</v>
      </c>
      <c r="L58" s="163">
        <f t="shared" si="24"/>
        <v>0</v>
      </c>
      <c r="M58" s="163">
        <f t="shared" si="24"/>
        <v>0</v>
      </c>
      <c r="N58" s="163">
        <f t="shared" si="24"/>
        <v>0</v>
      </c>
      <c r="O58" s="163">
        <f t="shared" si="24"/>
        <v>0</v>
      </c>
      <c r="P58" s="163">
        <f t="shared" si="24"/>
        <v>12.8</v>
      </c>
      <c r="Q58" s="163">
        <f t="shared" si="24"/>
        <v>0</v>
      </c>
      <c r="R58" s="163">
        <f t="shared" si="24"/>
        <v>0</v>
      </c>
      <c r="S58" s="163">
        <f t="shared" si="24"/>
        <v>0</v>
      </c>
      <c r="T58" s="163">
        <f t="shared" si="24"/>
        <v>0</v>
      </c>
      <c r="U58" s="163">
        <f t="shared" si="24"/>
        <v>0</v>
      </c>
      <c r="V58" s="163">
        <f t="shared" si="24"/>
        <v>0</v>
      </c>
      <c r="W58" s="163">
        <f t="shared" si="24"/>
        <v>0</v>
      </c>
      <c r="X58" s="163">
        <f t="shared" si="24"/>
        <v>0</v>
      </c>
      <c r="Y58" s="163">
        <f t="shared" si="24"/>
        <v>0</v>
      </c>
      <c r="Z58" s="163">
        <f t="shared" si="24"/>
        <v>0</v>
      </c>
      <c r="AA58" s="163">
        <f t="shared" si="24"/>
        <v>0</v>
      </c>
      <c r="AB58" s="163">
        <f t="shared" si="24"/>
        <v>0</v>
      </c>
      <c r="AC58" s="163">
        <f t="shared" si="24"/>
        <v>0</v>
      </c>
      <c r="AD58" s="163">
        <f t="shared" si="24"/>
        <v>0</v>
      </c>
      <c r="AE58" s="163">
        <f t="shared" si="24"/>
        <v>0</v>
      </c>
      <c r="AF58" s="164"/>
      <c r="AH58" s="97"/>
    </row>
    <row r="59" spans="1:34" s="18" customFormat="1" ht="48" customHeight="1">
      <c r="A59" s="45" t="s">
        <v>174</v>
      </c>
      <c r="B59" s="118"/>
      <c r="C59" s="120"/>
      <c r="D59" s="120"/>
      <c r="E59" s="120"/>
      <c r="F59" s="125"/>
      <c r="G59" s="125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2" t="s">
        <v>177</v>
      </c>
      <c r="AH59" s="97"/>
    </row>
    <row r="60" spans="1:34" s="18" customFormat="1" ht="18.75">
      <c r="A60" s="108" t="s">
        <v>32</v>
      </c>
      <c r="B60" s="116">
        <f>B61</f>
        <v>0</v>
      </c>
      <c r="C60" s="116">
        <f aca="true" t="shared" si="25" ref="C60:AE60">C61</f>
        <v>0</v>
      </c>
      <c r="D60" s="116">
        <f t="shared" si="25"/>
        <v>0</v>
      </c>
      <c r="E60" s="116">
        <f t="shared" si="25"/>
        <v>0</v>
      </c>
      <c r="F60" s="123">
        <f t="shared" si="25"/>
        <v>0</v>
      </c>
      <c r="G60" s="123">
        <v>0</v>
      </c>
      <c r="H60" s="116">
        <f t="shared" si="25"/>
        <v>0</v>
      </c>
      <c r="I60" s="116">
        <f t="shared" si="25"/>
        <v>0</v>
      </c>
      <c r="J60" s="116">
        <f t="shared" si="25"/>
        <v>0</v>
      </c>
      <c r="K60" s="116">
        <f t="shared" si="25"/>
        <v>0</v>
      </c>
      <c r="L60" s="116">
        <f t="shared" si="25"/>
        <v>0</v>
      </c>
      <c r="M60" s="116">
        <f t="shared" si="25"/>
        <v>0</v>
      </c>
      <c r="N60" s="116">
        <f t="shared" si="25"/>
        <v>0</v>
      </c>
      <c r="O60" s="116">
        <f t="shared" si="25"/>
        <v>0</v>
      </c>
      <c r="P60" s="116">
        <f t="shared" si="25"/>
        <v>0</v>
      </c>
      <c r="Q60" s="116">
        <f t="shared" si="25"/>
        <v>0</v>
      </c>
      <c r="R60" s="116">
        <f t="shared" si="25"/>
        <v>0</v>
      </c>
      <c r="S60" s="116">
        <f t="shared" si="25"/>
        <v>0</v>
      </c>
      <c r="T60" s="116">
        <f t="shared" si="25"/>
        <v>0</v>
      </c>
      <c r="U60" s="116">
        <f t="shared" si="25"/>
        <v>0</v>
      </c>
      <c r="V60" s="116">
        <f t="shared" si="25"/>
        <v>0</v>
      </c>
      <c r="W60" s="116">
        <f t="shared" si="25"/>
        <v>0</v>
      </c>
      <c r="X60" s="116">
        <f t="shared" si="25"/>
        <v>0</v>
      </c>
      <c r="Y60" s="116">
        <f t="shared" si="25"/>
        <v>0</v>
      </c>
      <c r="Z60" s="116">
        <f t="shared" si="25"/>
        <v>0</v>
      </c>
      <c r="AA60" s="116">
        <f t="shared" si="25"/>
        <v>0</v>
      </c>
      <c r="AB60" s="116">
        <f t="shared" si="25"/>
        <v>0</v>
      </c>
      <c r="AC60" s="116">
        <f t="shared" si="25"/>
        <v>0</v>
      </c>
      <c r="AD60" s="116">
        <f t="shared" si="25"/>
        <v>0</v>
      </c>
      <c r="AE60" s="116">
        <f t="shared" si="25"/>
        <v>0</v>
      </c>
      <c r="AF60" s="110"/>
      <c r="AH60" s="97"/>
    </row>
    <row r="61" spans="1:34" s="136" customFormat="1" ht="18.75" customHeight="1">
      <c r="A61" s="132" t="s">
        <v>25</v>
      </c>
      <c r="B61" s="133">
        <f>H61+J61+L61+N61+P61+R61+T61+V61+X61+Z61+AB61+AD61</f>
        <v>0</v>
      </c>
      <c r="C61" s="134">
        <f>H61</f>
        <v>0</v>
      </c>
      <c r="D61" s="134"/>
      <c r="E61" s="134">
        <f>I61+K61+M61+O61+Q61+S61+U61+W61+Y61+AA61+AC61+AE61</f>
        <v>0</v>
      </c>
      <c r="F61" s="135">
        <v>0</v>
      </c>
      <c r="G61" s="135">
        <v>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45"/>
      <c r="AH61" s="137"/>
    </row>
    <row r="62" spans="1:34" s="18" customFormat="1" ht="60" customHeight="1">
      <c r="A62" s="45" t="s">
        <v>167</v>
      </c>
      <c r="B62" s="118"/>
      <c r="C62" s="120"/>
      <c r="D62" s="120"/>
      <c r="E62" s="120"/>
      <c r="F62" s="125"/>
      <c r="G62" s="125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11" t="s">
        <v>180</v>
      </c>
      <c r="AH62" s="97"/>
    </row>
    <row r="63" spans="1:34" s="18" customFormat="1" ht="18.75">
      <c r="A63" s="108" t="s">
        <v>32</v>
      </c>
      <c r="B63" s="116">
        <f>B64</f>
        <v>0</v>
      </c>
      <c r="C63" s="116">
        <f aca="true" t="shared" si="26" ref="C63:AE63">C64</f>
        <v>0</v>
      </c>
      <c r="D63" s="116">
        <f t="shared" si="26"/>
        <v>0</v>
      </c>
      <c r="E63" s="116">
        <f t="shared" si="26"/>
        <v>0</v>
      </c>
      <c r="F63" s="123">
        <f t="shared" si="26"/>
        <v>0</v>
      </c>
      <c r="G63" s="123">
        <v>0</v>
      </c>
      <c r="H63" s="116">
        <f t="shared" si="26"/>
        <v>0</v>
      </c>
      <c r="I63" s="116">
        <f t="shared" si="26"/>
        <v>0</v>
      </c>
      <c r="J63" s="116">
        <f t="shared" si="26"/>
        <v>0</v>
      </c>
      <c r="K63" s="116">
        <f t="shared" si="26"/>
        <v>0</v>
      </c>
      <c r="L63" s="116">
        <f t="shared" si="26"/>
        <v>0</v>
      </c>
      <c r="M63" s="116">
        <f t="shared" si="26"/>
        <v>0</v>
      </c>
      <c r="N63" s="116">
        <f t="shared" si="26"/>
        <v>0</v>
      </c>
      <c r="O63" s="116">
        <f t="shared" si="26"/>
        <v>0</v>
      </c>
      <c r="P63" s="116">
        <f t="shared" si="26"/>
        <v>0</v>
      </c>
      <c r="Q63" s="116">
        <f t="shared" si="26"/>
        <v>0</v>
      </c>
      <c r="R63" s="116">
        <f t="shared" si="26"/>
        <v>0</v>
      </c>
      <c r="S63" s="116">
        <f t="shared" si="26"/>
        <v>0</v>
      </c>
      <c r="T63" s="116">
        <f t="shared" si="26"/>
        <v>0</v>
      </c>
      <c r="U63" s="116">
        <f t="shared" si="26"/>
        <v>0</v>
      </c>
      <c r="V63" s="116">
        <f t="shared" si="26"/>
        <v>0</v>
      </c>
      <c r="W63" s="116">
        <f t="shared" si="26"/>
        <v>0</v>
      </c>
      <c r="X63" s="116">
        <f t="shared" si="26"/>
        <v>0</v>
      </c>
      <c r="Y63" s="116">
        <f t="shared" si="26"/>
        <v>0</v>
      </c>
      <c r="Z63" s="116">
        <f t="shared" si="26"/>
        <v>0</v>
      </c>
      <c r="AA63" s="116">
        <f t="shared" si="26"/>
        <v>0</v>
      </c>
      <c r="AB63" s="116">
        <f t="shared" si="26"/>
        <v>0</v>
      </c>
      <c r="AC63" s="116">
        <f t="shared" si="26"/>
        <v>0</v>
      </c>
      <c r="AD63" s="116">
        <f t="shared" si="26"/>
        <v>0</v>
      </c>
      <c r="AE63" s="116">
        <f t="shared" si="26"/>
        <v>0</v>
      </c>
      <c r="AF63" s="109"/>
      <c r="AH63" s="97"/>
    </row>
    <row r="64" spans="1:34" s="136" customFormat="1" ht="18.75">
      <c r="A64" s="132" t="s">
        <v>25</v>
      </c>
      <c r="B64" s="133">
        <f>H64+J64+L64+N64+P64+R64+T64+V64+X64+Z64+AB64+AD64</f>
        <v>0</v>
      </c>
      <c r="C64" s="134">
        <f>H64+J64+L64+N64+P64+R64+T64+V64+X64</f>
        <v>0</v>
      </c>
      <c r="D64" s="134">
        <f>H64+J64+L64+N64+P64+R64+T64+V64</f>
        <v>0</v>
      </c>
      <c r="E64" s="134">
        <f>I64+K64+M64+O64+Q64+S64+U64+W64+Y64+AA64+AC64+AE64</f>
        <v>0</v>
      </c>
      <c r="F64" s="135">
        <v>0</v>
      </c>
      <c r="G64" s="135">
        <v>0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45"/>
      <c r="AH64" s="137"/>
    </row>
    <row r="65" spans="1:34" s="18" customFormat="1" ht="186" customHeight="1">
      <c r="A65" s="46" t="s">
        <v>168</v>
      </c>
      <c r="B65" s="119"/>
      <c r="C65" s="120"/>
      <c r="D65" s="120"/>
      <c r="E65" s="120"/>
      <c r="F65" s="125"/>
      <c r="G65" s="125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12" t="s">
        <v>178</v>
      </c>
      <c r="AH65" s="97"/>
    </row>
    <row r="66" spans="1:34" s="18" customFormat="1" ht="18.75">
      <c r="A66" s="108" t="s">
        <v>32</v>
      </c>
      <c r="B66" s="116">
        <f>B67</f>
        <v>0</v>
      </c>
      <c r="C66" s="116">
        <f aca="true" t="shared" si="27" ref="C66:AE66">C67</f>
        <v>0</v>
      </c>
      <c r="D66" s="116">
        <f t="shared" si="27"/>
        <v>0</v>
      </c>
      <c r="E66" s="116">
        <f t="shared" si="27"/>
        <v>0</v>
      </c>
      <c r="F66" s="123">
        <f t="shared" si="27"/>
        <v>0</v>
      </c>
      <c r="G66" s="123">
        <v>0</v>
      </c>
      <c r="H66" s="116">
        <f t="shared" si="27"/>
        <v>0</v>
      </c>
      <c r="I66" s="116">
        <f t="shared" si="27"/>
        <v>0</v>
      </c>
      <c r="J66" s="116">
        <f t="shared" si="27"/>
        <v>0</v>
      </c>
      <c r="K66" s="116">
        <f t="shared" si="27"/>
        <v>0</v>
      </c>
      <c r="L66" s="116">
        <f t="shared" si="27"/>
        <v>0</v>
      </c>
      <c r="M66" s="116">
        <f t="shared" si="27"/>
        <v>0</v>
      </c>
      <c r="N66" s="116">
        <f t="shared" si="27"/>
        <v>0</v>
      </c>
      <c r="O66" s="116">
        <f t="shared" si="27"/>
        <v>0</v>
      </c>
      <c r="P66" s="116">
        <f t="shared" si="27"/>
        <v>0</v>
      </c>
      <c r="Q66" s="116">
        <f t="shared" si="27"/>
        <v>0</v>
      </c>
      <c r="R66" s="116">
        <f t="shared" si="27"/>
        <v>0</v>
      </c>
      <c r="S66" s="116">
        <f t="shared" si="27"/>
        <v>0</v>
      </c>
      <c r="T66" s="116">
        <f t="shared" si="27"/>
        <v>0</v>
      </c>
      <c r="U66" s="116">
        <f t="shared" si="27"/>
        <v>0</v>
      </c>
      <c r="V66" s="116">
        <f t="shared" si="27"/>
        <v>0</v>
      </c>
      <c r="W66" s="116">
        <f t="shared" si="27"/>
        <v>0</v>
      </c>
      <c r="X66" s="116">
        <f t="shared" si="27"/>
        <v>0</v>
      </c>
      <c r="Y66" s="116">
        <f t="shared" si="27"/>
        <v>0</v>
      </c>
      <c r="Z66" s="116">
        <f t="shared" si="27"/>
        <v>0</v>
      </c>
      <c r="AA66" s="116">
        <f t="shared" si="27"/>
        <v>0</v>
      </c>
      <c r="AB66" s="116">
        <f t="shared" si="27"/>
        <v>0</v>
      </c>
      <c r="AC66" s="116">
        <f t="shared" si="27"/>
        <v>0</v>
      </c>
      <c r="AD66" s="116">
        <f t="shared" si="27"/>
        <v>0</v>
      </c>
      <c r="AE66" s="116">
        <f t="shared" si="27"/>
        <v>0</v>
      </c>
      <c r="AF66" s="109"/>
      <c r="AH66" s="97"/>
    </row>
    <row r="67" spans="1:34" s="136" customFormat="1" ht="18.75">
      <c r="A67" s="132" t="s">
        <v>25</v>
      </c>
      <c r="B67" s="133">
        <f>H67+J67+L67+N67+P67+R67+T67+V67+X67+Z67+AB67+AD67</f>
        <v>0</v>
      </c>
      <c r="C67" s="134">
        <f>H67+J67+L67+N67+P67+R67+T67+V67+X67</f>
        <v>0</v>
      </c>
      <c r="D67" s="134">
        <f>H67+J67+L67+N67+P67+R67+T67+V67</f>
        <v>0</v>
      </c>
      <c r="E67" s="134">
        <f>I67+K67+M67+O67+Q67+S67+U67+W67+Y67+AA67+AC67+AE67</f>
        <v>0</v>
      </c>
      <c r="F67" s="135">
        <v>0</v>
      </c>
      <c r="G67" s="135">
        <v>0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45"/>
      <c r="AH67" s="137"/>
    </row>
    <row r="68" spans="1:34" s="18" customFormat="1" ht="134.25" customHeight="1">
      <c r="A68" s="104" t="s">
        <v>169</v>
      </c>
      <c r="B68" s="118"/>
      <c r="C68" s="120"/>
      <c r="D68" s="120"/>
      <c r="E68" s="120"/>
      <c r="F68" s="125"/>
      <c r="G68" s="125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11" t="s">
        <v>197</v>
      </c>
      <c r="AH68" s="97"/>
    </row>
    <row r="69" spans="1:34" s="18" customFormat="1" ht="18.75">
      <c r="A69" s="108" t="s">
        <v>32</v>
      </c>
      <c r="B69" s="116">
        <f>B70</f>
        <v>12.8</v>
      </c>
      <c r="C69" s="116">
        <f aca="true" t="shared" si="28" ref="C69:AE69">C70</f>
        <v>12.8</v>
      </c>
      <c r="D69" s="116">
        <f t="shared" si="28"/>
        <v>0</v>
      </c>
      <c r="E69" s="116">
        <f t="shared" si="28"/>
        <v>0</v>
      </c>
      <c r="F69" s="123">
        <v>0</v>
      </c>
      <c r="G69" s="123">
        <v>0</v>
      </c>
      <c r="H69" s="116">
        <f t="shared" si="28"/>
        <v>0</v>
      </c>
      <c r="I69" s="116">
        <f t="shared" si="28"/>
        <v>0</v>
      </c>
      <c r="J69" s="116">
        <f t="shared" si="28"/>
        <v>0</v>
      </c>
      <c r="K69" s="116">
        <f t="shared" si="28"/>
        <v>0</v>
      </c>
      <c r="L69" s="116">
        <f t="shared" si="28"/>
        <v>0</v>
      </c>
      <c r="M69" s="116">
        <f t="shared" si="28"/>
        <v>0</v>
      </c>
      <c r="N69" s="116">
        <f t="shared" si="28"/>
        <v>0</v>
      </c>
      <c r="O69" s="116">
        <f t="shared" si="28"/>
        <v>0</v>
      </c>
      <c r="P69" s="116">
        <f t="shared" si="28"/>
        <v>12.8</v>
      </c>
      <c r="Q69" s="116">
        <f t="shared" si="28"/>
        <v>0</v>
      </c>
      <c r="R69" s="116">
        <f t="shared" si="28"/>
        <v>0</v>
      </c>
      <c r="S69" s="116">
        <f t="shared" si="28"/>
        <v>0</v>
      </c>
      <c r="T69" s="116">
        <f t="shared" si="28"/>
        <v>0</v>
      </c>
      <c r="U69" s="116">
        <f t="shared" si="28"/>
        <v>0</v>
      </c>
      <c r="V69" s="116">
        <f t="shared" si="28"/>
        <v>0</v>
      </c>
      <c r="W69" s="116">
        <f t="shared" si="28"/>
        <v>0</v>
      </c>
      <c r="X69" s="116">
        <f t="shared" si="28"/>
        <v>0</v>
      </c>
      <c r="Y69" s="116">
        <f t="shared" si="28"/>
        <v>0</v>
      </c>
      <c r="Z69" s="116">
        <f t="shared" si="28"/>
        <v>0</v>
      </c>
      <c r="AA69" s="116">
        <f t="shared" si="28"/>
        <v>0</v>
      </c>
      <c r="AB69" s="116">
        <f t="shared" si="28"/>
        <v>0</v>
      </c>
      <c r="AC69" s="116">
        <f t="shared" si="28"/>
        <v>0</v>
      </c>
      <c r="AD69" s="116">
        <f t="shared" si="28"/>
        <v>0</v>
      </c>
      <c r="AE69" s="116">
        <f t="shared" si="28"/>
        <v>0</v>
      </c>
      <c r="AF69" s="110"/>
      <c r="AH69" s="97"/>
    </row>
    <row r="70" spans="1:34" s="136" customFormat="1" ht="18.75">
      <c r="A70" s="132" t="s">
        <v>25</v>
      </c>
      <c r="B70" s="133">
        <f>H70+J70+L70+N70+P70+R70+T70+V70+X70+Z70+AB70+AD70</f>
        <v>12.8</v>
      </c>
      <c r="C70" s="134">
        <f>H70+J70+L70+N70+P70+R70</f>
        <v>12.8</v>
      </c>
      <c r="D70" s="134">
        <v>0</v>
      </c>
      <c r="E70" s="134">
        <f>I70+K70+M70+O70+Q70+S70+U70+W70+Y70+AA70+AC70+AE70</f>
        <v>0</v>
      </c>
      <c r="F70" s="135">
        <v>0</v>
      </c>
      <c r="G70" s="135">
        <v>0</v>
      </c>
      <c r="H70" s="134">
        <v>0</v>
      </c>
      <c r="I70" s="134"/>
      <c r="J70" s="134">
        <v>0</v>
      </c>
      <c r="K70" s="134"/>
      <c r="L70" s="134">
        <v>0</v>
      </c>
      <c r="M70" s="134"/>
      <c r="N70" s="134">
        <v>0</v>
      </c>
      <c r="O70" s="134">
        <v>0</v>
      </c>
      <c r="P70" s="134">
        <f>12800/1000</f>
        <v>12.8</v>
      </c>
      <c r="Q70" s="134"/>
      <c r="R70" s="134">
        <v>0</v>
      </c>
      <c r="S70" s="134"/>
      <c r="T70" s="134">
        <v>0</v>
      </c>
      <c r="U70" s="134"/>
      <c r="V70" s="134">
        <v>0</v>
      </c>
      <c r="W70" s="134"/>
      <c r="X70" s="134">
        <v>0</v>
      </c>
      <c r="Y70" s="134"/>
      <c r="Z70" s="134">
        <v>0</v>
      </c>
      <c r="AA70" s="134"/>
      <c r="AB70" s="134">
        <v>0</v>
      </c>
      <c r="AC70" s="134"/>
      <c r="AD70" s="134">
        <v>0</v>
      </c>
      <c r="AE70" s="134">
        <v>0</v>
      </c>
      <c r="AF70" s="145"/>
      <c r="AH70" s="137"/>
    </row>
    <row r="71" spans="1:34" s="18" customFormat="1" ht="97.5" customHeight="1">
      <c r="A71" s="45" t="s">
        <v>175</v>
      </c>
      <c r="B71" s="118"/>
      <c r="C71" s="120"/>
      <c r="D71" s="120"/>
      <c r="E71" s="120"/>
      <c r="F71" s="125"/>
      <c r="G71" s="125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11" t="s">
        <v>176</v>
      </c>
      <c r="AH71" s="97"/>
    </row>
    <row r="72" spans="1:34" s="18" customFormat="1" ht="18.75">
      <c r="A72" s="108" t="s">
        <v>32</v>
      </c>
      <c r="B72" s="116">
        <f>B73</f>
        <v>0</v>
      </c>
      <c r="C72" s="116">
        <f aca="true" t="shared" si="29" ref="C72:AE72">C73</f>
        <v>0</v>
      </c>
      <c r="D72" s="116">
        <f t="shared" si="29"/>
        <v>0</v>
      </c>
      <c r="E72" s="116">
        <f t="shared" si="29"/>
        <v>0</v>
      </c>
      <c r="F72" s="123">
        <v>0</v>
      </c>
      <c r="G72" s="123">
        <v>0</v>
      </c>
      <c r="H72" s="116">
        <f t="shared" si="29"/>
        <v>0</v>
      </c>
      <c r="I72" s="116">
        <f t="shared" si="29"/>
        <v>0</v>
      </c>
      <c r="J72" s="116">
        <f t="shared" si="29"/>
        <v>0</v>
      </c>
      <c r="K72" s="116">
        <f t="shared" si="29"/>
        <v>0</v>
      </c>
      <c r="L72" s="116">
        <f t="shared" si="29"/>
        <v>0</v>
      </c>
      <c r="M72" s="116">
        <f t="shared" si="29"/>
        <v>0</v>
      </c>
      <c r="N72" s="116">
        <f t="shared" si="29"/>
        <v>0</v>
      </c>
      <c r="O72" s="116">
        <f t="shared" si="29"/>
        <v>0</v>
      </c>
      <c r="P72" s="116">
        <f t="shared" si="29"/>
        <v>0</v>
      </c>
      <c r="Q72" s="116">
        <f t="shared" si="29"/>
        <v>0</v>
      </c>
      <c r="R72" s="116">
        <f t="shared" si="29"/>
        <v>0</v>
      </c>
      <c r="S72" s="116">
        <f t="shared" si="29"/>
        <v>0</v>
      </c>
      <c r="T72" s="116">
        <f t="shared" si="29"/>
        <v>0</v>
      </c>
      <c r="U72" s="116">
        <f t="shared" si="29"/>
        <v>0</v>
      </c>
      <c r="V72" s="116">
        <f t="shared" si="29"/>
        <v>0</v>
      </c>
      <c r="W72" s="116">
        <f t="shared" si="29"/>
        <v>0</v>
      </c>
      <c r="X72" s="116">
        <f t="shared" si="29"/>
        <v>0</v>
      </c>
      <c r="Y72" s="116">
        <f t="shared" si="29"/>
        <v>0</v>
      </c>
      <c r="Z72" s="116">
        <f t="shared" si="29"/>
        <v>0</v>
      </c>
      <c r="AA72" s="116">
        <f t="shared" si="29"/>
        <v>0</v>
      </c>
      <c r="AB72" s="116">
        <f t="shared" si="29"/>
        <v>0</v>
      </c>
      <c r="AC72" s="116">
        <f t="shared" si="29"/>
        <v>0</v>
      </c>
      <c r="AD72" s="116">
        <f t="shared" si="29"/>
        <v>0</v>
      </c>
      <c r="AE72" s="116">
        <f t="shared" si="29"/>
        <v>0</v>
      </c>
      <c r="AF72" s="110"/>
      <c r="AH72" s="97"/>
    </row>
    <row r="73" spans="1:34" s="136" customFormat="1" ht="18.75">
      <c r="A73" s="132" t="s">
        <v>25</v>
      </c>
      <c r="B73" s="133">
        <f>H73+J73+L73+N73+P73+R73+T73+V73+X73+Z73+AB73+AD73</f>
        <v>0</v>
      </c>
      <c r="C73" s="134"/>
      <c r="D73" s="134"/>
      <c r="E73" s="134">
        <f>I73+K73+M73+O73+Q73+S73+U73+W73+Y73+AA73+AC73+AE73</f>
        <v>0</v>
      </c>
      <c r="F73" s="135">
        <v>0</v>
      </c>
      <c r="G73" s="135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45"/>
      <c r="AH73" s="137"/>
    </row>
    <row r="74" spans="1:34" s="49" customFormat="1" ht="18.75">
      <c r="A74" s="108" t="s">
        <v>33</v>
      </c>
      <c r="B74" s="116">
        <f>B76+B77+B75</f>
        <v>21740.400999999998</v>
      </c>
      <c r="C74" s="116">
        <f>C76+C77+C75</f>
        <v>9800.29176</v>
      </c>
      <c r="D74" s="116">
        <f>D76+D77+D75</f>
        <v>14490.427749999999</v>
      </c>
      <c r="E74" s="116">
        <f>E76+E77+E75</f>
        <v>7872.954520000001</v>
      </c>
      <c r="F74" s="128">
        <f>E74/B74</f>
        <v>0.3621347425928345</v>
      </c>
      <c r="G74" s="128">
        <f>E74/C74</f>
        <v>0.8033387895790565</v>
      </c>
      <c r="H74" s="116">
        <f>H76+H77+H75</f>
        <v>562.959</v>
      </c>
      <c r="I74" s="116">
        <f aca="true" t="shared" si="30" ref="I74:AE74">I76+I77+I75</f>
        <v>425.15626000000003</v>
      </c>
      <c r="J74" s="116">
        <f t="shared" si="30"/>
        <v>760.9912</v>
      </c>
      <c r="K74" s="116">
        <f t="shared" si="30"/>
        <v>448.08592</v>
      </c>
      <c r="L74" s="116">
        <f t="shared" si="30"/>
        <v>1153.12406</v>
      </c>
      <c r="M74" s="116">
        <f t="shared" si="30"/>
        <v>1026.41214</v>
      </c>
      <c r="N74" s="116">
        <f t="shared" si="30"/>
        <v>1585.88057</v>
      </c>
      <c r="O74" s="116">
        <f t="shared" si="30"/>
        <v>1337.55763</v>
      </c>
      <c r="P74" s="116">
        <f t="shared" si="30"/>
        <v>1642.441</v>
      </c>
      <c r="Q74" s="116">
        <f t="shared" si="30"/>
        <v>1227.89005</v>
      </c>
      <c r="R74" s="116">
        <f t="shared" si="30"/>
        <v>4094.8959299999997</v>
      </c>
      <c r="S74" s="116">
        <f t="shared" si="30"/>
        <v>3407.8525200000004</v>
      </c>
      <c r="T74" s="116">
        <f t="shared" si="30"/>
        <v>3667.87624</v>
      </c>
      <c r="U74" s="116">
        <f t="shared" si="30"/>
        <v>0</v>
      </c>
      <c r="V74" s="116">
        <f t="shared" si="30"/>
        <v>3696.5689999999995</v>
      </c>
      <c r="W74" s="116">
        <f t="shared" si="30"/>
        <v>0</v>
      </c>
      <c r="X74" s="116">
        <f t="shared" si="30"/>
        <v>1027.022</v>
      </c>
      <c r="Y74" s="116">
        <f t="shared" si="30"/>
        <v>0</v>
      </c>
      <c r="Z74" s="116">
        <f t="shared" si="30"/>
        <v>1240.23957</v>
      </c>
      <c r="AA74" s="116">
        <f t="shared" si="30"/>
        <v>0</v>
      </c>
      <c r="AB74" s="116">
        <f t="shared" si="30"/>
        <v>1211.76444</v>
      </c>
      <c r="AC74" s="116">
        <f t="shared" si="30"/>
        <v>0</v>
      </c>
      <c r="AD74" s="116">
        <f t="shared" si="30"/>
        <v>1096.63799</v>
      </c>
      <c r="AE74" s="116">
        <f t="shared" si="30"/>
        <v>0</v>
      </c>
      <c r="AF74" s="109"/>
      <c r="AH74" s="174"/>
    </row>
    <row r="75" spans="1:34" s="131" customFormat="1" ht="18.75">
      <c r="A75" s="129" t="s">
        <v>150</v>
      </c>
      <c r="B75" s="130">
        <f>B10</f>
        <v>0</v>
      </c>
      <c r="C75" s="130">
        <f>C10</f>
        <v>0</v>
      </c>
      <c r="D75" s="130">
        <f>D10</f>
        <v>0</v>
      </c>
      <c r="E75" s="130">
        <f>E10</f>
        <v>0</v>
      </c>
      <c r="F75" s="173">
        <v>0</v>
      </c>
      <c r="G75" s="173">
        <f>G10</f>
        <v>0</v>
      </c>
      <c r="H75" s="130">
        <f aca="true" t="shared" si="31" ref="H75:AE75">H10</f>
        <v>0</v>
      </c>
      <c r="I75" s="130">
        <f t="shared" si="31"/>
        <v>0</v>
      </c>
      <c r="J75" s="130">
        <f t="shared" si="31"/>
        <v>0</v>
      </c>
      <c r="K75" s="130">
        <f t="shared" si="31"/>
        <v>0</v>
      </c>
      <c r="L75" s="130">
        <f t="shared" si="31"/>
        <v>0</v>
      </c>
      <c r="M75" s="130">
        <f t="shared" si="31"/>
        <v>0</v>
      </c>
      <c r="N75" s="130">
        <f t="shared" si="31"/>
        <v>0</v>
      </c>
      <c r="O75" s="130">
        <f t="shared" si="31"/>
        <v>0</v>
      </c>
      <c r="P75" s="130">
        <f t="shared" si="31"/>
        <v>0</v>
      </c>
      <c r="Q75" s="130">
        <f t="shared" si="31"/>
        <v>0</v>
      </c>
      <c r="R75" s="130">
        <f t="shared" si="31"/>
        <v>0</v>
      </c>
      <c r="S75" s="130">
        <f t="shared" si="31"/>
        <v>0</v>
      </c>
      <c r="T75" s="130">
        <f t="shared" si="31"/>
        <v>0</v>
      </c>
      <c r="U75" s="130">
        <f t="shared" si="31"/>
        <v>0</v>
      </c>
      <c r="V75" s="130">
        <f t="shared" si="31"/>
        <v>0</v>
      </c>
      <c r="W75" s="130">
        <f t="shared" si="31"/>
        <v>0</v>
      </c>
      <c r="X75" s="130">
        <f t="shared" si="31"/>
        <v>0</v>
      </c>
      <c r="Y75" s="130">
        <f t="shared" si="31"/>
        <v>0</v>
      </c>
      <c r="Z75" s="130">
        <f t="shared" si="31"/>
        <v>0</v>
      </c>
      <c r="AA75" s="130">
        <f t="shared" si="31"/>
        <v>0</v>
      </c>
      <c r="AB75" s="130">
        <f t="shared" si="31"/>
        <v>0</v>
      </c>
      <c r="AC75" s="130">
        <f t="shared" si="31"/>
        <v>0</v>
      </c>
      <c r="AD75" s="130">
        <f t="shared" si="31"/>
        <v>0</v>
      </c>
      <c r="AE75" s="130">
        <f t="shared" si="31"/>
        <v>0</v>
      </c>
      <c r="AF75" s="147"/>
      <c r="AH75" s="174"/>
    </row>
    <row r="76" spans="1:34" s="131" customFormat="1" ht="18.75">
      <c r="A76" s="129" t="s">
        <v>24</v>
      </c>
      <c r="B76" s="130">
        <f aca="true" t="shared" si="32" ref="B76:AE76">B11+B52</f>
        <v>4559.001</v>
      </c>
      <c r="C76" s="130">
        <f t="shared" si="32"/>
        <v>2668.3535599999996</v>
      </c>
      <c r="D76" s="130">
        <f t="shared" si="32"/>
        <v>2450.23575</v>
      </c>
      <c r="E76" s="130">
        <f t="shared" si="32"/>
        <v>2322.98745</v>
      </c>
      <c r="F76" s="173">
        <f>E76/B76</f>
        <v>0.5095387015708046</v>
      </c>
      <c r="G76" s="173">
        <f>E76/C76</f>
        <v>0.8705695844893959</v>
      </c>
      <c r="H76" s="130">
        <f>H11+H52</f>
        <v>562.959</v>
      </c>
      <c r="I76" s="130">
        <f t="shared" si="32"/>
        <v>425.15626000000003</v>
      </c>
      <c r="J76" s="130">
        <f t="shared" si="32"/>
        <v>343.16200000000003</v>
      </c>
      <c r="K76" s="130">
        <f t="shared" si="32"/>
        <v>234.19137</v>
      </c>
      <c r="L76" s="130">
        <f t="shared" si="32"/>
        <v>223.10106</v>
      </c>
      <c r="M76" s="130">
        <f t="shared" si="32"/>
        <v>242.98214000000002</v>
      </c>
      <c r="N76" s="130">
        <f t="shared" si="32"/>
        <v>328.57657</v>
      </c>
      <c r="O76" s="130">
        <f t="shared" si="32"/>
        <v>258.35763</v>
      </c>
      <c r="P76" s="130">
        <f t="shared" si="32"/>
        <v>486.299</v>
      </c>
      <c r="Q76" s="130">
        <f t="shared" si="32"/>
        <v>328.47005</v>
      </c>
      <c r="R76" s="130">
        <f t="shared" si="32"/>
        <v>724.25593</v>
      </c>
      <c r="S76" s="130">
        <f t="shared" si="32"/>
        <v>833.8299999999999</v>
      </c>
      <c r="T76" s="130">
        <f t="shared" si="32"/>
        <v>506.60623999999996</v>
      </c>
      <c r="U76" s="130">
        <f t="shared" si="32"/>
        <v>0</v>
      </c>
      <c r="V76" s="130">
        <f t="shared" si="32"/>
        <v>525.9590000000001</v>
      </c>
      <c r="W76" s="130">
        <f t="shared" si="32"/>
        <v>0</v>
      </c>
      <c r="X76" s="130">
        <f t="shared" si="32"/>
        <v>185.33999999999997</v>
      </c>
      <c r="Y76" s="130">
        <f t="shared" si="32"/>
        <v>0</v>
      </c>
      <c r="Z76" s="130">
        <f t="shared" si="32"/>
        <v>236.03757000000002</v>
      </c>
      <c r="AA76" s="130">
        <f t="shared" si="32"/>
        <v>0</v>
      </c>
      <c r="AB76" s="130">
        <f t="shared" si="32"/>
        <v>161.12044</v>
      </c>
      <c r="AC76" s="130">
        <f t="shared" si="32"/>
        <v>0</v>
      </c>
      <c r="AD76" s="130">
        <f t="shared" si="32"/>
        <v>275.58419</v>
      </c>
      <c r="AE76" s="130">
        <f t="shared" si="32"/>
        <v>0</v>
      </c>
      <c r="AF76" s="147"/>
      <c r="AH76" s="174"/>
    </row>
    <row r="77" spans="1:34" s="131" customFormat="1" ht="18.75">
      <c r="A77" s="129" t="s">
        <v>25</v>
      </c>
      <c r="B77" s="130">
        <f aca="true" t="shared" si="33" ref="B77:AE77">B12+B58</f>
        <v>17181.399999999998</v>
      </c>
      <c r="C77" s="130">
        <f t="shared" si="33"/>
        <v>7131.9382</v>
      </c>
      <c r="D77" s="130">
        <f t="shared" si="33"/>
        <v>12040.192</v>
      </c>
      <c r="E77" s="130">
        <f t="shared" si="33"/>
        <v>5549.967070000001</v>
      </c>
      <c r="F77" s="173">
        <f>E77/B77</f>
        <v>0.32302181836171684</v>
      </c>
      <c r="G77" s="173">
        <f>E77/C77</f>
        <v>0.7781849638012849</v>
      </c>
      <c r="H77" s="130">
        <f t="shared" si="33"/>
        <v>0</v>
      </c>
      <c r="I77" s="130">
        <f t="shared" si="33"/>
        <v>0</v>
      </c>
      <c r="J77" s="130">
        <f t="shared" si="33"/>
        <v>417.8292</v>
      </c>
      <c r="K77" s="130">
        <f t="shared" si="33"/>
        <v>213.89455</v>
      </c>
      <c r="L77" s="130">
        <f t="shared" si="33"/>
        <v>930.023</v>
      </c>
      <c r="M77" s="130">
        <f t="shared" si="33"/>
        <v>783.43</v>
      </c>
      <c r="N77" s="130">
        <f t="shared" si="33"/>
        <v>1257.304</v>
      </c>
      <c r="O77" s="130">
        <f t="shared" si="33"/>
        <v>1079.2</v>
      </c>
      <c r="P77" s="130">
        <f t="shared" si="33"/>
        <v>1156.142</v>
      </c>
      <c r="Q77" s="130">
        <f t="shared" si="33"/>
        <v>899.4200000000001</v>
      </c>
      <c r="R77" s="130">
        <f t="shared" si="33"/>
        <v>3370.64</v>
      </c>
      <c r="S77" s="130">
        <f t="shared" si="33"/>
        <v>2574.0225200000004</v>
      </c>
      <c r="T77" s="130">
        <f t="shared" si="33"/>
        <v>3161.27</v>
      </c>
      <c r="U77" s="130">
        <f t="shared" si="33"/>
        <v>0</v>
      </c>
      <c r="V77" s="130">
        <f t="shared" si="33"/>
        <v>3170.6099999999997</v>
      </c>
      <c r="W77" s="130">
        <f t="shared" si="33"/>
        <v>0</v>
      </c>
      <c r="X77" s="130">
        <f t="shared" si="33"/>
        <v>841.682</v>
      </c>
      <c r="Y77" s="130">
        <f t="shared" si="33"/>
        <v>0</v>
      </c>
      <c r="Z77" s="130">
        <f t="shared" si="33"/>
        <v>1004.202</v>
      </c>
      <c r="AA77" s="130">
        <f t="shared" si="33"/>
        <v>0</v>
      </c>
      <c r="AB77" s="130">
        <f t="shared" si="33"/>
        <v>1050.644</v>
      </c>
      <c r="AC77" s="130">
        <f t="shared" si="33"/>
        <v>0</v>
      </c>
      <c r="AD77" s="130">
        <f t="shared" si="33"/>
        <v>821.0538</v>
      </c>
      <c r="AE77" s="130">
        <f t="shared" si="33"/>
        <v>0</v>
      </c>
      <c r="AF77" s="147"/>
      <c r="AH77" s="174"/>
    </row>
    <row r="78" spans="1:34" s="18" customFormat="1" ht="18.75">
      <c r="A78" s="58"/>
      <c r="B78" s="58"/>
      <c r="C78" s="59"/>
      <c r="D78" s="59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H78" s="97"/>
    </row>
    <row r="79" spans="1:34" s="18" customFormat="1" ht="18.75">
      <c r="A79" s="58"/>
      <c r="B79" s="58"/>
      <c r="E79" s="60"/>
      <c r="F79" s="6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165"/>
      <c r="V79" s="165"/>
      <c r="W79" s="165"/>
      <c r="X79" s="165"/>
      <c r="Y79" s="165"/>
      <c r="Z79" s="165"/>
      <c r="AA79" s="165"/>
      <c r="AB79" s="165"/>
      <c r="AC79" s="165"/>
      <c r="AD79" s="61"/>
      <c r="AE79" s="61"/>
      <c r="AF79" s="62"/>
      <c r="AH79" s="97"/>
    </row>
    <row r="80" spans="2:32" ht="15.75" customHeight="1">
      <c r="B80" s="54"/>
      <c r="E80" s="53"/>
      <c r="F80" s="57"/>
      <c r="G80" s="57"/>
      <c r="H80" s="101"/>
      <c r="I80" s="102"/>
      <c r="M80" s="17"/>
      <c r="N80" s="17"/>
      <c r="U80" s="53" t="s">
        <v>183</v>
      </c>
      <c r="V80" s="100"/>
      <c r="W80" s="100"/>
      <c r="X80" s="100"/>
      <c r="Y80" s="100"/>
      <c r="Z80" s="100"/>
      <c r="AA80" s="166"/>
      <c r="AB80" s="166"/>
      <c r="AC80" s="192" t="s">
        <v>184</v>
      </c>
      <c r="AD80" s="192"/>
      <c r="AE80" s="192"/>
      <c r="AF80" s="192"/>
    </row>
    <row r="81" spans="1:43" ht="15.75" customHeight="1">
      <c r="A81" s="53"/>
      <c r="B81" s="54"/>
      <c r="E81" s="53"/>
      <c r="F81" s="57"/>
      <c r="G81" s="57"/>
      <c r="H81" s="101"/>
      <c r="I81" s="102"/>
      <c r="M81" s="17"/>
      <c r="N81" s="17"/>
      <c r="R81" s="52"/>
      <c r="S81" s="7"/>
      <c r="U81" s="53"/>
      <c r="V81" s="1"/>
      <c r="W81" s="1"/>
      <c r="X81" s="1"/>
      <c r="Y81" s="1"/>
      <c r="AA81" s="1"/>
      <c r="AB81" s="1"/>
      <c r="AD81" s="53"/>
      <c r="AE81" s="1"/>
      <c r="AF81" s="7"/>
      <c r="AG81" s="7"/>
      <c r="AH81" s="99"/>
      <c r="AI81" s="7"/>
      <c r="AJ81" s="7"/>
      <c r="AK81" s="7"/>
      <c r="AL81" s="7"/>
      <c r="AM81" s="7"/>
      <c r="AN81" s="7"/>
      <c r="AO81" s="7"/>
      <c r="AP81" s="7"/>
      <c r="AQ81" s="6"/>
    </row>
    <row r="82" spans="1:29" ht="15.75" customHeight="1">
      <c r="A82" s="24"/>
      <c r="B82" s="24"/>
      <c r="E82" s="24"/>
      <c r="F82" s="24"/>
      <c r="G82" s="24"/>
      <c r="H82" s="24"/>
      <c r="I82" s="24"/>
      <c r="J82" s="100"/>
      <c r="R82" s="52"/>
      <c r="U82" s="24"/>
      <c r="AC82" s="1"/>
    </row>
    <row r="83" ht="15.75" customHeight="1"/>
    <row r="84" spans="2:25" ht="15.75" customHeight="1">
      <c r="B84" s="63"/>
      <c r="E84" s="63"/>
      <c r="F84" s="1"/>
      <c r="G84" s="63"/>
      <c r="H84" s="63"/>
      <c r="U84" s="63" t="s">
        <v>185</v>
      </c>
      <c r="Y84" s="63"/>
    </row>
    <row r="85" ht="15.75" customHeight="1"/>
    <row r="86" ht="29.25" customHeight="1"/>
    <row r="87" ht="15.75" customHeight="1"/>
    <row r="88" ht="15.75" customHeight="1">
      <c r="H88" s="177"/>
    </row>
    <row r="89" ht="15.75" customHeight="1">
      <c r="H89" s="177"/>
    </row>
    <row r="90" spans="6:8" ht="15.75" customHeight="1">
      <c r="F90" s="1"/>
      <c r="G90" s="179"/>
      <c r="H90" s="180"/>
    </row>
    <row r="91" ht="15.75" customHeight="1">
      <c r="G91" s="178"/>
    </row>
  </sheetData>
  <sheetProtection/>
  <mergeCells count="28">
    <mergeCell ref="O3:S3"/>
    <mergeCell ref="A4:A5"/>
    <mergeCell ref="B4:B5"/>
    <mergeCell ref="C4:C5"/>
    <mergeCell ref="D4:D5"/>
    <mergeCell ref="E4:E5"/>
    <mergeCell ref="F4:G4"/>
    <mergeCell ref="H4:I4"/>
    <mergeCell ref="J4:K4"/>
    <mergeCell ref="AF4:AF5"/>
    <mergeCell ref="AF13:AF16"/>
    <mergeCell ref="AF17:AF20"/>
    <mergeCell ref="L4:M4"/>
    <mergeCell ref="N4:O4"/>
    <mergeCell ref="P4:Q4"/>
    <mergeCell ref="R4:S4"/>
    <mergeCell ref="V4:W4"/>
    <mergeCell ref="X4:Y4"/>
    <mergeCell ref="A2:AF2"/>
    <mergeCell ref="AC80:AF80"/>
    <mergeCell ref="AF21:AF24"/>
    <mergeCell ref="AF25:AF27"/>
    <mergeCell ref="AF30:AF31"/>
    <mergeCell ref="AF33:AF34"/>
    <mergeCell ref="AF40:AF42"/>
    <mergeCell ref="Z4:AA4"/>
    <mergeCell ref="AB4:AC4"/>
    <mergeCell ref="AD4:AE4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5" r:id="rId3"/>
  <rowBreaks count="2" manualBreakCount="2">
    <brk id="39" max="31" man="1"/>
    <brk id="84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86" t="s">
        <v>40</v>
      </c>
      <c r="C6" s="186"/>
      <c r="D6" s="186"/>
      <c r="E6" s="186"/>
      <c r="F6" s="186"/>
      <c r="G6" s="186"/>
      <c r="H6" s="186"/>
      <c r="I6" s="186"/>
      <c r="J6" s="186"/>
    </row>
    <row r="7" s="25" customFormat="1" ht="12.75"/>
    <row r="8" spans="2:10" s="25" customFormat="1" ht="12.75">
      <c r="B8" s="203" t="s">
        <v>41</v>
      </c>
      <c r="C8" s="203" t="s">
        <v>5</v>
      </c>
      <c r="D8" s="203" t="s">
        <v>42</v>
      </c>
      <c r="E8" s="203" t="s">
        <v>43</v>
      </c>
      <c r="F8" s="203" t="s">
        <v>44</v>
      </c>
      <c r="G8" s="203"/>
      <c r="H8" s="203"/>
      <c r="I8" s="203"/>
      <c r="J8" s="203" t="s">
        <v>45</v>
      </c>
    </row>
    <row r="9" spans="2:10" s="25" customFormat="1" ht="12.75">
      <c r="B9" s="203"/>
      <c r="C9" s="203"/>
      <c r="D9" s="203"/>
      <c r="E9" s="203"/>
      <c r="F9" s="203" t="s">
        <v>46</v>
      </c>
      <c r="G9" s="203" t="s">
        <v>47</v>
      </c>
      <c r="H9" s="203"/>
      <c r="I9" s="203"/>
      <c r="J9" s="203"/>
    </row>
    <row r="10" spans="2:10" s="25" customFormat="1" ht="15.75" customHeight="1">
      <c r="B10" s="203"/>
      <c r="C10" s="203"/>
      <c r="D10" s="203"/>
      <c r="E10" s="203"/>
      <c r="F10" s="203"/>
      <c r="G10" s="33" t="s">
        <v>48</v>
      </c>
      <c r="H10" s="33" t="s">
        <v>49</v>
      </c>
      <c r="I10" s="33" t="s">
        <v>50</v>
      </c>
      <c r="J10" s="203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204" t="s">
        <v>51</v>
      </c>
      <c r="C12" s="204"/>
      <c r="D12" s="204"/>
      <c r="E12" s="204"/>
      <c r="F12" s="204"/>
      <c r="G12" s="204"/>
      <c r="H12" s="204"/>
      <c r="I12" s="204"/>
      <c r="J12" s="204"/>
    </row>
    <row r="13" spans="2:10" s="25" customFormat="1" ht="24.75" customHeight="1">
      <c r="B13" s="204" t="s">
        <v>52</v>
      </c>
      <c r="C13" s="204"/>
      <c r="D13" s="204"/>
      <c r="E13" s="204"/>
      <c r="F13" s="204"/>
      <c r="G13" s="204"/>
      <c r="H13" s="204"/>
      <c r="I13" s="204"/>
      <c r="J13" s="204"/>
    </row>
    <row r="14" spans="2:10" s="25" customFormat="1" ht="25.5" customHeight="1">
      <c r="B14" s="205" t="s">
        <v>53</v>
      </c>
      <c r="C14" s="206"/>
      <c r="D14" s="206"/>
      <c r="E14" s="206"/>
      <c r="F14" s="206"/>
      <c r="G14" s="206"/>
      <c r="H14" s="206"/>
      <c r="I14" s="206"/>
      <c r="J14" s="207"/>
    </row>
    <row r="15" spans="2:13" s="25" customFormat="1" ht="12.75">
      <c r="B15" s="208" t="s">
        <v>54</v>
      </c>
      <c r="C15" s="211" t="s">
        <v>55</v>
      </c>
      <c r="D15" s="214" t="s">
        <v>56</v>
      </c>
      <c r="E15" s="214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9"/>
      <c r="C16" s="212"/>
      <c r="D16" s="215"/>
      <c r="E16" s="215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10"/>
      <c r="C17" s="213"/>
      <c r="D17" s="216"/>
      <c r="E17" s="216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8" t="s">
        <v>62</v>
      </c>
      <c r="C19" s="211" t="s">
        <v>63</v>
      </c>
      <c r="D19" s="214" t="s">
        <v>56</v>
      </c>
      <c r="E19" s="214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9"/>
      <c r="C20" s="212"/>
      <c r="D20" s="215"/>
      <c r="E20" s="215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10"/>
      <c r="C21" s="213"/>
      <c r="D21" s="216"/>
      <c r="E21" s="216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203" t="s">
        <v>73</v>
      </c>
      <c r="G25" s="203"/>
      <c r="H25" s="203"/>
      <c r="I25" s="203"/>
      <c r="J25" s="203"/>
      <c r="M25" s="36"/>
    </row>
    <row r="26" spans="2:13" s="25" customFormat="1" ht="18.75" customHeight="1">
      <c r="B26" s="214"/>
      <c r="C26" s="211" t="s">
        <v>74</v>
      </c>
      <c r="D26" s="214" t="s">
        <v>56</v>
      </c>
      <c r="E26" s="214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15"/>
      <c r="C27" s="212"/>
      <c r="D27" s="215"/>
      <c r="E27" s="215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16"/>
      <c r="C28" s="213"/>
      <c r="D28" s="216"/>
      <c r="E28" s="216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204" t="s">
        <v>75</v>
      </c>
      <c r="C29" s="204"/>
      <c r="D29" s="204"/>
      <c r="E29" s="204"/>
      <c r="F29" s="204"/>
      <c r="G29" s="204"/>
      <c r="H29" s="204"/>
      <c r="I29" s="204"/>
      <c r="J29" s="204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17"/>
      <c r="C32" s="211" t="s">
        <v>80</v>
      </c>
      <c r="D32" s="220"/>
      <c r="E32" s="214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18"/>
      <c r="C33" s="212"/>
      <c r="D33" s="221"/>
      <c r="E33" s="215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19"/>
      <c r="C34" s="213"/>
      <c r="D34" s="222"/>
      <c r="E34" s="216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205" t="s">
        <v>81</v>
      </c>
      <c r="C35" s="206"/>
      <c r="D35" s="206"/>
      <c r="E35" s="206"/>
      <c r="F35" s="206"/>
      <c r="G35" s="206"/>
      <c r="H35" s="206"/>
      <c r="I35" s="206"/>
      <c r="J35" s="207"/>
      <c r="M35" s="36"/>
    </row>
    <row r="36" spans="2:13" ht="27" customHeight="1">
      <c r="B36" s="205" t="s">
        <v>82</v>
      </c>
      <c r="C36" s="206"/>
      <c r="D36" s="206"/>
      <c r="E36" s="206"/>
      <c r="F36" s="206"/>
      <c r="G36" s="206"/>
      <c r="H36" s="206"/>
      <c r="I36" s="206"/>
      <c r="J36" s="207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205" t="s">
        <v>88</v>
      </c>
      <c r="C40" s="206"/>
      <c r="D40" s="206"/>
      <c r="E40" s="206"/>
      <c r="F40" s="206"/>
      <c r="G40" s="206"/>
      <c r="H40" s="206"/>
      <c r="I40" s="206"/>
      <c r="J40" s="207"/>
      <c r="M40" s="36"/>
    </row>
    <row r="41" spans="2:13" ht="26.25" customHeight="1">
      <c r="B41" s="205" t="s">
        <v>89</v>
      </c>
      <c r="C41" s="206"/>
      <c r="D41" s="206"/>
      <c r="E41" s="206"/>
      <c r="F41" s="206"/>
      <c r="G41" s="206"/>
      <c r="H41" s="206"/>
      <c r="I41" s="206"/>
      <c r="J41" s="207"/>
      <c r="M41" s="36"/>
    </row>
    <row r="42" spans="2:13" ht="27.75" customHeight="1">
      <c r="B42" s="204" t="s">
        <v>90</v>
      </c>
      <c r="C42" s="204"/>
      <c r="D42" s="204"/>
      <c r="E42" s="204"/>
      <c r="F42" s="204"/>
      <c r="G42" s="204"/>
      <c r="H42" s="204"/>
      <c r="I42" s="204"/>
      <c r="J42" s="204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203" t="s">
        <v>73</v>
      </c>
      <c r="G43" s="203"/>
      <c r="H43" s="203"/>
      <c r="I43" s="203"/>
      <c r="J43" s="203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203"/>
      <c r="C47" s="211" t="s">
        <v>102</v>
      </c>
      <c r="D47" s="203" t="s">
        <v>93</v>
      </c>
      <c r="E47" s="203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203"/>
      <c r="C48" s="212"/>
      <c r="D48" s="203"/>
      <c r="E48" s="203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203"/>
      <c r="C49" s="213"/>
      <c r="D49" s="203"/>
      <c r="E49" s="203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204" t="s">
        <v>103</v>
      </c>
      <c r="C50" s="204"/>
      <c r="D50" s="204"/>
      <c r="E50" s="204"/>
      <c r="F50" s="204"/>
      <c r="G50" s="204"/>
      <c r="H50" s="204"/>
      <c r="I50" s="204"/>
      <c r="J50" s="204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203" t="s">
        <v>73</v>
      </c>
      <c r="G51" s="203"/>
      <c r="H51" s="203"/>
      <c r="I51" s="203"/>
      <c r="J51" s="203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203" t="s">
        <v>73</v>
      </c>
      <c r="G52" s="203"/>
      <c r="H52" s="203"/>
      <c r="I52" s="203"/>
      <c r="J52" s="203"/>
      <c r="M52" s="36"/>
    </row>
    <row r="53" spans="2:13" ht="15.75" customHeight="1">
      <c r="B53" s="223"/>
      <c r="C53" s="204" t="s">
        <v>108</v>
      </c>
      <c r="D53" s="203" t="s">
        <v>93</v>
      </c>
      <c r="E53" s="203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23"/>
      <c r="C54" s="204"/>
      <c r="D54" s="203"/>
      <c r="E54" s="203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23"/>
      <c r="C55" s="204"/>
      <c r="D55" s="203"/>
      <c r="E55" s="203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24"/>
      <c r="C56" s="204" t="s">
        <v>109</v>
      </c>
      <c r="D56" s="223"/>
      <c r="E56" s="203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24"/>
      <c r="C57" s="204"/>
      <c r="D57" s="223"/>
      <c r="E57" s="203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24"/>
      <c r="C58" s="204"/>
      <c r="D58" s="223"/>
      <c r="E58" s="203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23"/>
      <c r="C60" s="204" t="s">
        <v>111</v>
      </c>
      <c r="D60" s="223"/>
      <c r="E60" s="203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23"/>
      <c r="C61" s="204"/>
      <c r="D61" s="223"/>
      <c r="E61" s="203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23"/>
      <c r="C62" s="204"/>
      <c r="D62" s="223"/>
      <c r="E62" s="203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20"/>
      <c r="C63" s="211" t="s">
        <v>112</v>
      </c>
      <c r="D63" s="220"/>
      <c r="E63" s="214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21"/>
      <c r="C64" s="212"/>
      <c r="D64" s="221"/>
      <c r="E64" s="215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22"/>
      <c r="C65" s="213"/>
      <c r="D65" s="222"/>
      <c r="E65" s="216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92"/>
      <c r="G1" s="192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2" t="s">
        <v>27</v>
      </c>
      <c r="O2" s="192"/>
      <c r="P2" s="192"/>
      <c r="Q2" s="192"/>
      <c r="R2" s="192"/>
    </row>
    <row r="3" spans="1:31" ht="26.25" customHeight="1">
      <c r="A3" s="23"/>
      <c r="N3" s="199" t="s">
        <v>35</v>
      </c>
      <c r="O3" s="199"/>
      <c r="P3" s="199"/>
      <c r="Q3" s="199"/>
      <c r="R3" s="199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8" t="s">
        <v>5</v>
      </c>
      <c r="B5" s="200" t="s">
        <v>23</v>
      </c>
      <c r="C5" s="200" t="s">
        <v>19</v>
      </c>
      <c r="D5" s="200" t="s">
        <v>20</v>
      </c>
      <c r="E5" s="197" t="s">
        <v>15</v>
      </c>
      <c r="F5" s="197"/>
      <c r="G5" s="197" t="s">
        <v>0</v>
      </c>
      <c r="H5" s="197"/>
      <c r="I5" s="197" t="s">
        <v>1</v>
      </c>
      <c r="J5" s="197"/>
      <c r="K5" s="197" t="s">
        <v>2</v>
      </c>
      <c r="L5" s="197"/>
      <c r="M5" s="197" t="s">
        <v>3</v>
      </c>
      <c r="N5" s="197"/>
      <c r="O5" s="197" t="s">
        <v>4</v>
      </c>
      <c r="P5" s="197"/>
      <c r="Q5" s="197" t="s">
        <v>6</v>
      </c>
      <c r="R5" s="197"/>
      <c r="S5" s="197" t="s">
        <v>7</v>
      </c>
      <c r="T5" s="197"/>
      <c r="U5" s="197" t="s">
        <v>8</v>
      </c>
      <c r="V5" s="197"/>
      <c r="W5" s="197" t="s">
        <v>9</v>
      </c>
      <c r="X5" s="197"/>
      <c r="Y5" s="197" t="s">
        <v>10</v>
      </c>
      <c r="Z5" s="197"/>
      <c r="AA5" s="197" t="s">
        <v>11</v>
      </c>
      <c r="AB5" s="197"/>
      <c r="AC5" s="197" t="s">
        <v>12</v>
      </c>
      <c r="AD5" s="197"/>
      <c r="AE5" s="198" t="s">
        <v>21</v>
      </c>
      <c r="AG5" s="76"/>
      <c r="AH5" s="76"/>
    </row>
    <row r="6" spans="1:34" s="13" customFormat="1" ht="84" customHeight="1">
      <c r="A6" s="198"/>
      <c r="B6" s="201"/>
      <c r="C6" s="201"/>
      <c r="D6" s="201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8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92"/>
      <c r="G1" s="192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92" t="s">
        <v>27</v>
      </c>
      <c r="O2" s="192"/>
      <c r="P2" s="192"/>
      <c r="Q2" s="192"/>
      <c r="R2" s="192"/>
    </row>
    <row r="3" spans="1:31" ht="26.25" customHeight="1">
      <c r="A3" s="23"/>
      <c r="N3" s="199" t="s">
        <v>35</v>
      </c>
      <c r="O3" s="199"/>
      <c r="P3" s="199"/>
      <c r="Q3" s="199"/>
      <c r="R3" s="199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8" t="s">
        <v>5</v>
      </c>
      <c r="B5" s="200" t="s">
        <v>23</v>
      </c>
      <c r="C5" s="200" t="s">
        <v>19</v>
      </c>
      <c r="D5" s="200" t="s">
        <v>20</v>
      </c>
      <c r="E5" s="197" t="s">
        <v>15</v>
      </c>
      <c r="F5" s="197"/>
      <c r="G5" s="197" t="s">
        <v>0</v>
      </c>
      <c r="H5" s="197"/>
      <c r="I5" s="197" t="s">
        <v>1</v>
      </c>
      <c r="J5" s="197"/>
      <c r="K5" s="197" t="s">
        <v>2</v>
      </c>
      <c r="L5" s="197"/>
      <c r="M5" s="197" t="s">
        <v>3</v>
      </c>
      <c r="N5" s="197"/>
      <c r="O5" s="197" t="s">
        <v>4</v>
      </c>
      <c r="P5" s="197"/>
      <c r="Q5" s="197" t="s">
        <v>6</v>
      </c>
      <c r="R5" s="197"/>
      <c r="S5" s="197" t="s">
        <v>7</v>
      </c>
      <c r="T5" s="197"/>
      <c r="U5" s="197" t="s">
        <v>8</v>
      </c>
      <c r="V5" s="197"/>
      <c r="W5" s="197" t="s">
        <v>9</v>
      </c>
      <c r="X5" s="197"/>
      <c r="Y5" s="197" t="s">
        <v>10</v>
      </c>
      <c r="Z5" s="197"/>
      <c r="AA5" s="197" t="s">
        <v>11</v>
      </c>
      <c r="AB5" s="197"/>
      <c r="AC5" s="197" t="s">
        <v>12</v>
      </c>
      <c r="AD5" s="197"/>
      <c r="AE5" s="198" t="s">
        <v>21</v>
      </c>
    </row>
    <row r="6" spans="1:31" s="13" customFormat="1" ht="84" customHeight="1">
      <c r="A6" s="198"/>
      <c r="B6" s="201"/>
      <c r="C6" s="201"/>
      <c r="D6" s="201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8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2016-07-02T13:08:19Z</cp:lastPrinted>
  <dcterms:created xsi:type="dcterms:W3CDTF">1996-10-08T23:32:33Z</dcterms:created>
  <dcterms:modified xsi:type="dcterms:W3CDTF">2016-07-07T09:54:08Z</dcterms:modified>
  <cp:category/>
  <cp:version/>
  <cp:contentType/>
  <cp:contentStatus/>
</cp:coreProperties>
</file>